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BC Consulting Business\Master Spreadsheets file\"/>
    </mc:Choice>
  </mc:AlternateContent>
  <xr:revisionPtr revIDLastSave="0" documentId="8_{7C4A8476-B497-42A1-895B-FE7732D6DC98}" xr6:coauthVersionLast="47" xr6:coauthVersionMax="47" xr10:uidLastSave="{00000000-0000-0000-0000-000000000000}"/>
  <bookViews>
    <workbookView xWindow="3645" yWindow="3645" windowWidth="16200" windowHeight="10073" tabRatio="863" firstSheet="2" activeTab="2" xr2:uid="{00000000-000D-0000-FFFF-FFFF00000000}"/>
  </bookViews>
  <sheets>
    <sheet name="Intro" sheetId="4" state="hidden" r:id="rId1"/>
    <sheet name="Terminology" sheetId="23" state="hidden" r:id="rId2"/>
    <sheet name="Dashboard" sheetId="1" r:id="rId3"/>
    <sheet name="Deal Checklist" sheetId="21" state="hidden" r:id="rId4"/>
    <sheet name="Asset Management" sheetId="25" r:id="rId5"/>
    <sheet name="Calculations" sheetId="22" r:id="rId6"/>
    <sheet name="Worksheet" sheetId="3" r:id="rId7"/>
    <sheet name="Cashflow" sheetId="2" r:id="rId8"/>
    <sheet name="Waterfall" sheetId="18" r:id="rId9"/>
    <sheet name="Amortization" sheetId="11" r:id="rId10"/>
    <sheet name="Rehab" sheetId="9" r:id="rId11"/>
    <sheet name="Rent Comps - Input" sheetId="12" r:id="rId12"/>
    <sheet name="Rent Comps - Sorted" sheetId="20" r:id="rId13"/>
    <sheet name="Sale Comps" sheetId="19" r:id="rId14"/>
    <sheet name="LEGAL" sheetId="24" r:id="rId15"/>
  </sheets>
  <definedNames>
    <definedName name="Address">Dashboard!$D$5</definedName>
    <definedName name="AskingPrice">Dashboard!$D$18</definedName>
    <definedName name="CDate">Dashboard!$D$26</definedName>
    <definedName name="ExitCap">Waterfall!$C$51</definedName>
    <definedName name="H">Waterfall!$C$4</definedName>
    <definedName name="Name">Dashboard!$D$4</definedName>
    <definedName name="P">Dashboard!$D$20</definedName>
    <definedName name="RentComps_PrintArea" localSheetId="12">'Rent Comps - Sorted'!$A$1:$H$85</definedName>
    <definedName name="U">Dashboard!$G$11</definedName>
    <definedName name="YearBuilt">Dashboard!$D$9</definedName>
  </definedNames>
  <calcPr calcId="191028"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9" i="25" l="1"/>
  <c r="C154" i="25"/>
  <c r="C149" i="25"/>
  <c r="C63" i="25"/>
  <c r="C142" i="25"/>
  <c r="C143" i="25"/>
  <c r="C144" i="25"/>
  <c r="C27" i="25"/>
  <c r="C138" i="25"/>
  <c r="C139" i="25"/>
  <c r="C69" i="25"/>
  <c r="C65" i="25"/>
  <c r="C70" i="25"/>
  <c r="C71" i="25"/>
  <c r="C129" i="25"/>
  <c r="C134" i="25"/>
  <c r="C126" i="25"/>
  <c r="C121" i="25"/>
  <c r="C116" i="25"/>
  <c r="C107" i="25"/>
  <c r="C109" i="25"/>
  <c r="C111" i="25"/>
  <c r="C104" i="25"/>
  <c r="C96" i="25"/>
  <c r="C99" i="25"/>
  <c r="C87" i="25"/>
  <c r="C97" i="25"/>
  <c r="C98" i="25"/>
  <c r="C93" i="25"/>
  <c r="C88" i="25"/>
  <c r="C79" i="25"/>
  <c r="C82" i="25"/>
  <c r="C83" i="25"/>
  <c r="C76" i="25"/>
  <c r="C59" i="25"/>
  <c r="C53" i="25"/>
  <c r="C46" i="25"/>
  <c r="C47" i="25"/>
  <c r="C48" i="25"/>
  <c r="C42" i="25"/>
  <c r="C43" i="25"/>
  <c r="C38" i="25"/>
  <c r="C66" i="25"/>
  <c r="C32" i="25"/>
  <c r="C33" i="25"/>
  <c r="C28" i="25"/>
  <c r="C17" i="25"/>
  <c r="C20" i="25"/>
  <c r="C10" i="25"/>
  <c r="O3" i="25"/>
  <c r="G11" i="1"/>
  <c r="C4" i="25"/>
  <c r="D2" i="25"/>
  <c r="E2" i="25"/>
  <c r="F2" i="25"/>
  <c r="G2" i="25"/>
  <c r="H2" i="25"/>
  <c r="I2" i="25"/>
  <c r="J2" i="25"/>
  <c r="K2" i="25"/>
  <c r="L2" i="25"/>
  <c r="M2" i="25"/>
  <c r="N2" i="25"/>
  <c r="C23" i="25"/>
  <c r="C22" i="25"/>
  <c r="E8" i="3"/>
  <c r="E14" i="3"/>
  <c r="E27" i="3"/>
  <c r="E29" i="3"/>
  <c r="E51" i="3"/>
  <c r="E53" i="3"/>
  <c r="E58" i="3"/>
  <c r="E57" i="3"/>
  <c r="AG50" i="18"/>
  <c r="K11" i="1"/>
  <c r="I11" i="1"/>
  <c r="M11" i="1"/>
  <c r="M9" i="1"/>
  <c r="M10" i="1"/>
  <c r="M8" i="1"/>
  <c r="L10" i="1"/>
  <c r="L9" i="1"/>
  <c r="L8" i="1"/>
  <c r="L7" i="1"/>
  <c r="L6" i="1"/>
  <c r="L5" i="1"/>
  <c r="L4" i="1"/>
  <c r="J10" i="1"/>
  <c r="J9" i="1"/>
  <c r="J8" i="1"/>
  <c r="J7" i="1"/>
  <c r="J6" i="1"/>
  <c r="J5" i="1"/>
  <c r="J4" i="1"/>
  <c r="J11" i="1"/>
  <c r="L11" i="1"/>
  <c r="C14" i="19"/>
  <c r="E8" i="19"/>
  <c r="G8" i="19"/>
  <c r="I8" i="19"/>
  <c r="K8" i="19"/>
  <c r="M8" i="19"/>
  <c r="O8" i="19"/>
  <c r="Q8" i="19"/>
  <c r="S8" i="19"/>
  <c r="U8" i="19"/>
  <c r="C13" i="19"/>
  <c r="C12" i="19"/>
  <c r="A16" i="19"/>
  <c r="C16" i="19"/>
  <c r="E4" i="2"/>
  <c r="F4" i="2"/>
  <c r="G4" i="2"/>
  <c r="H4" i="2"/>
  <c r="I4" i="2"/>
  <c r="J4" i="2"/>
  <c r="K4" i="2"/>
  <c r="L4" i="2"/>
  <c r="M4" i="2"/>
  <c r="Z3" i="18"/>
  <c r="Z34" i="18"/>
  <c r="X3" i="18"/>
  <c r="X34" i="18"/>
  <c r="V3" i="18"/>
  <c r="V34" i="18"/>
  <c r="Z33" i="18"/>
  <c r="X33" i="18"/>
  <c r="V33" i="18"/>
  <c r="N13" i="22"/>
  <c r="N12" i="22"/>
  <c r="N11" i="22"/>
  <c r="N10" i="22"/>
  <c r="N9" i="22"/>
  <c r="N8" i="22"/>
  <c r="N7" i="22"/>
  <c r="N6" i="22"/>
  <c r="N5" i="22"/>
  <c r="C2" i="12"/>
  <c r="AB76" i="12"/>
  <c r="X76" i="12"/>
  <c r="T76" i="12"/>
  <c r="P76" i="12"/>
  <c r="L76" i="12"/>
  <c r="H76" i="12"/>
  <c r="AB74" i="12"/>
  <c r="X74" i="12"/>
  <c r="T74" i="12"/>
  <c r="P74" i="12"/>
  <c r="L74" i="12"/>
  <c r="H74" i="12"/>
  <c r="AB68" i="12"/>
  <c r="X68" i="12"/>
  <c r="T68" i="12"/>
  <c r="P68" i="12"/>
  <c r="L68" i="12"/>
  <c r="H68" i="12"/>
  <c r="AB66" i="12"/>
  <c r="X66" i="12"/>
  <c r="T66" i="12"/>
  <c r="P66" i="12"/>
  <c r="L66" i="12"/>
  <c r="H66" i="12"/>
  <c r="AB60" i="12"/>
  <c r="X60" i="12"/>
  <c r="T60" i="12"/>
  <c r="P60" i="12"/>
  <c r="L60" i="12"/>
  <c r="H60" i="12"/>
  <c r="AB58" i="12"/>
  <c r="X58" i="12"/>
  <c r="T58" i="12"/>
  <c r="P58" i="12"/>
  <c r="L58" i="12"/>
  <c r="H58" i="12"/>
  <c r="AB52" i="12"/>
  <c r="X52" i="12"/>
  <c r="T52" i="12"/>
  <c r="P52" i="12"/>
  <c r="L52" i="12"/>
  <c r="H52" i="12"/>
  <c r="AB50" i="12"/>
  <c r="X50" i="12"/>
  <c r="T50" i="12"/>
  <c r="P50" i="12"/>
  <c r="L50" i="12"/>
  <c r="H50" i="12"/>
  <c r="AB44" i="12"/>
  <c r="X44" i="12"/>
  <c r="T44" i="12"/>
  <c r="P44" i="12"/>
  <c r="L44" i="12"/>
  <c r="H44" i="12"/>
  <c r="AB42" i="12"/>
  <c r="X42" i="12"/>
  <c r="T42" i="12"/>
  <c r="P42" i="12"/>
  <c r="L42" i="12"/>
  <c r="H42" i="12"/>
  <c r="AB36" i="12"/>
  <c r="X36" i="12"/>
  <c r="T36" i="12"/>
  <c r="P36" i="12"/>
  <c r="L36" i="12"/>
  <c r="H36" i="12"/>
  <c r="AB34" i="12"/>
  <c r="X34" i="12"/>
  <c r="T34" i="12"/>
  <c r="P34" i="12"/>
  <c r="L34" i="12"/>
  <c r="H34" i="12"/>
  <c r="AB28" i="12"/>
  <c r="X28" i="12"/>
  <c r="T28" i="12"/>
  <c r="P28" i="12"/>
  <c r="L28" i="12"/>
  <c r="H28" i="12"/>
  <c r="AB26" i="12"/>
  <c r="X26" i="12"/>
  <c r="T26" i="12"/>
  <c r="P26" i="12"/>
  <c r="L26" i="12"/>
  <c r="H26" i="12"/>
  <c r="AB20" i="12"/>
  <c r="X20" i="12"/>
  <c r="T20" i="12"/>
  <c r="P20" i="12"/>
  <c r="L20" i="12"/>
  <c r="H20" i="12"/>
  <c r="AB18" i="12"/>
  <c r="X18" i="12"/>
  <c r="T18" i="12"/>
  <c r="P18" i="12"/>
  <c r="L18" i="12"/>
  <c r="H18" i="12"/>
  <c r="AB12" i="12"/>
  <c r="AB10" i="12"/>
  <c r="X12" i="12"/>
  <c r="X10" i="12"/>
  <c r="T12" i="12"/>
  <c r="T10" i="12"/>
  <c r="P12" i="12"/>
  <c r="P10" i="12"/>
  <c r="L12" i="12"/>
  <c r="L10" i="12"/>
  <c r="H12" i="12"/>
  <c r="H10" i="12"/>
  <c r="AB2" i="12"/>
  <c r="X2" i="12"/>
  <c r="T2" i="12"/>
  <c r="P2" i="12"/>
  <c r="L2" i="12"/>
  <c r="H2" i="12"/>
  <c r="Z4" i="12"/>
  <c r="AB4" i="12"/>
  <c r="V4" i="12"/>
  <c r="X4" i="12"/>
  <c r="R4" i="12"/>
  <c r="T4" i="12"/>
  <c r="N4" i="12"/>
  <c r="P4" i="12"/>
  <c r="Z2" i="12"/>
  <c r="V2" i="12"/>
  <c r="R2" i="12"/>
  <c r="N2" i="12"/>
  <c r="J2" i="12"/>
  <c r="F4" i="12"/>
  <c r="H4" i="12"/>
  <c r="J4" i="12"/>
  <c r="L4" i="12"/>
  <c r="F2" i="12"/>
  <c r="C5" i="12"/>
  <c r="C4" i="12"/>
  <c r="C3" i="12"/>
  <c r="C9" i="18"/>
  <c r="C21" i="18"/>
  <c r="C17" i="18"/>
  <c r="P4" i="1"/>
  <c r="AT5" i="11"/>
  <c r="AN18" i="11"/>
  <c r="D24" i="1"/>
  <c r="D51" i="3"/>
  <c r="D27" i="3"/>
  <c r="D8" i="3"/>
  <c r="D14" i="3"/>
  <c r="D29" i="3"/>
  <c r="D53" i="3"/>
  <c r="D54" i="3"/>
  <c r="D4" i="18"/>
  <c r="S29" i="9"/>
  <c r="T29" i="9"/>
  <c r="U29" i="9"/>
  <c r="G29" i="9"/>
  <c r="H29" i="9"/>
  <c r="I29" i="9"/>
  <c r="K30" i="22"/>
  <c r="L28" i="22"/>
  <c r="L30" i="22"/>
  <c r="M28" i="22"/>
  <c r="M30" i="22"/>
  <c r="N28" i="22"/>
  <c r="N30" i="22"/>
  <c r="O28" i="22"/>
  <c r="O30" i="22"/>
  <c r="P28" i="22"/>
  <c r="P30" i="22"/>
  <c r="Q28" i="22"/>
  <c r="Q30" i="22"/>
  <c r="AC31" i="22"/>
  <c r="J23" i="9"/>
  <c r="L23" i="9"/>
  <c r="J22" i="9"/>
  <c r="L22" i="9"/>
  <c r="Y71" i="18"/>
  <c r="W71" i="18"/>
  <c r="U71" i="18"/>
  <c r="S71" i="18"/>
  <c r="Q71" i="18"/>
  <c r="O71" i="18"/>
  <c r="M71" i="18"/>
  <c r="K71" i="18"/>
  <c r="I71" i="18"/>
  <c r="AE1" i="22"/>
  <c r="U1" i="3"/>
  <c r="Y1" i="9"/>
  <c r="AW1" i="11"/>
  <c r="AD1" i="18"/>
  <c r="N1" i="2"/>
  <c r="U1" i="21"/>
  <c r="F5" i="18"/>
  <c r="C69" i="18"/>
  <c r="S41" i="22"/>
  <c r="R41" i="22"/>
  <c r="Q41" i="22"/>
  <c r="P41" i="22"/>
  <c r="M41" i="22"/>
  <c r="L41" i="22"/>
  <c r="K41" i="22"/>
  <c r="J41" i="22"/>
  <c r="K25" i="22"/>
  <c r="K24" i="22"/>
  <c r="K23" i="22"/>
  <c r="K22" i="22"/>
  <c r="K21" i="22"/>
  <c r="K26" i="22"/>
  <c r="K13" i="3"/>
  <c r="K12" i="3"/>
  <c r="K11" i="3"/>
  <c r="K10" i="3"/>
  <c r="AC45" i="22"/>
  <c r="AC44" i="22"/>
  <c r="AC43" i="22"/>
  <c r="AC42" i="22"/>
  <c r="AC39" i="22"/>
  <c r="AC38" i="22"/>
  <c r="AC37" i="22"/>
  <c r="AC36" i="22"/>
  <c r="AC32" i="22"/>
  <c r="AC30" i="22"/>
  <c r="AC29" i="22"/>
  <c r="L45" i="22"/>
  <c r="K44" i="22"/>
  <c r="A1" i="22"/>
  <c r="AD46" i="22"/>
  <c r="AB46" i="22"/>
  <c r="Z46" i="22"/>
  <c r="Y46" i="22"/>
  <c r="AE45" i="22"/>
  <c r="AA45" i="22"/>
  <c r="AE44" i="22"/>
  <c r="AA44" i="22"/>
  <c r="AE43" i="22"/>
  <c r="AA43" i="22"/>
  <c r="AE42" i="22"/>
  <c r="AA42" i="22"/>
  <c r="AD40" i="22"/>
  <c r="AB40" i="22"/>
  <c r="Z40" i="22"/>
  <c r="Y40" i="22"/>
  <c r="AE39" i="22"/>
  <c r="AA39" i="22"/>
  <c r="AE38" i="22"/>
  <c r="AA38" i="22"/>
  <c r="AE37" i="22"/>
  <c r="AA37" i="22"/>
  <c r="L43" i="22"/>
  <c r="M43" i="22"/>
  <c r="N43" i="22"/>
  <c r="O43" i="22"/>
  <c r="P43" i="22"/>
  <c r="Q43" i="22"/>
  <c r="R43" i="22"/>
  <c r="S43" i="22"/>
  <c r="T43" i="22"/>
  <c r="U43" i="22"/>
  <c r="AE36" i="22"/>
  <c r="AA36" i="22"/>
  <c r="AD33" i="22"/>
  <c r="J35" i="22"/>
  <c r="K35" i="22"/>
  <c r="L35" i="22"/>
  <c r="M35" i="22"/>
  <c r="N35" i="22"/>
  <c r="O35" i="22"/>
  <c r="P35" i="22"/>
  <c r="Q35" i="22"/>
  <c r="R35" i="22"/>
  <c r="S35" i="22"/>
  <c r="T35" i="22"/>
  <c r="U35" i="22"/>
  <c r="AB33" i="22"/>
  <c r="Z33" i="22"/>
  <c r="Y33" i="22"/>
  <c r="AE32" i="22"/>
  <c r="AA32" i="22"/>
  <c r="AE31" i="22"/>
  <c r="AA31" i="22"/>
  <c r="AE30" i="22"/>
  <c r="AA30" i="22"/>
  <c r="AE29" i="22"/>
  <c r="AA29" i="22"/>
  <c r="U38" i="22"/>
  <c r="U41" i="22"/>
  <c r="T38" i="22"/>
  <c r="O38" i="22"/>
  <c r="N38" i="22"/>
  <c r="N41" i="22"/>
  <c r="M18" i="22"/>
  <c r="I14" i="22"/>
  <c r="F10" i="22"/>
  <c r="A50" i="2"/>
  <c r="D2" i="2"/>
  <c r="AC50" i="18"/>
  <c r="AC49" i="18"/>
  <c r="AC44" i="18"/>
  <c r="AC43" i="18"/>
  <c r="AC38" i="18"/>
  <c r="AC37" i="18"/>
  <c r="AC32" i="18"/>
  <c r="AC31" i="18"/>
  <c r="AC29" i="18"/>
  <c r="AC28" i="18"/>
  <c r="AC24" i="18"/>
  <c r="AC23" i="18"/>
  <c r="AC16" i="18"/>
  <c r="AC15" i="18"/>
  <c r="AC12" i="18"/>
  <c r="AC7" i="18"/>
  <c r="AC6" i="18"/>
  <c r="F63" i="18"/>
  <c r="F71" i="18"/>
  <c r="F72" i="18"/>
  <c r="C92" i="18"/>
  <c r="C93" i="18"/>
  <c r="C87" i="18"/>
  <c r="C88" i="18"/>
  <c r="M45" i="22"/>
  <c r="R28" i="22"/>
  <c r="S28" i="22"/>
  <c r="T28" i="22"/>
  <c r="U28" i="22"/>
  <c r="F75" i="18"/>
  <c r="F84" i="18"/>
  <c r="AC40" i="22"/>
  <c r="AB41" i="22"/>
  <c r="AC33" i="22"/>
  <c r="J32" i="22"/>
  <c r="K32" i="22"/>
  <c r="AC46" i="22"/>
  <c r="AD41" i="22"/>
  <c r="Y34" i="22"/>
  <c r="AB34" i="22"/>
  <c r="O14" i="22"/>
  <c r="AD34" i="22"/>
  <c r="N14" i="22"/>
  <c r="N16" i="22"/>
  <c r="J34" i="22"/>
  <c r="J37" i="22"/>
  <c r="AE46" i="22"/>
  <c r="AE33" i="22"/>
  <c r="AA33" i="22"/>
  <c r="AA40" i="22"/>
  <c r="Y41" i="22"/>
  <c r="AE40" i="22"/>
  <c r="AA46" i="22"/>
  <c r="N45" i="22"/>
  <c r="L32" i="22"/>
  <c r="M32" i="22"/>
  <c r="N32" i="22"/>
  <c r="O32" i="22"/>
  <c r="P32" i="22"/>
  <c r="Q32" i="22"/>
  <c r="R32" i="22"/>
  <c r="S32" i="22"/>
  <c r="T32" i="22"/>
  <c r="U32" i="22"/>
  <c r="K34" i="22"/>
  <c r="K37" i="22"/>
  <c r="F93" i="18"/>
  <c r="F92" i="18"/>
  <c r="O45" i="22"/>
  <c r="AE41" i="22"/>
  <c r="AA41" i="22"/>
  <c r="AE34" i="22"/>
  <c r="N17" i="22"/>
  <c r="AA34" i="22"/>
  <c r="P14" i="22"/>
  <c r="J30" i="22"/>
  <c r="M34" i="22"/>
  <c r="M37" i="22"/>
  <c r="T41" i="22"/>
  <c r="O41" i="22"/>
  <c r="L34" i="22"/>
  <c r="L37" i="22"/>
  <c r="E41" i="2"/>
  <c r="N18" i="22"/>
  <c r="P45" i="22"/>
  <c r="F41" i="2"/>
  <c r="N34" i="22"/>
  <c r="N37" i="22"/>
  <c r="G41" i="2"/>
  <c r="Q45" i="22"/>
  <c r="O34" i="22"/>
  <c r="O37" i="22"/>
  <c r="H41" i="2"/>
  <c r="R45" i="22"/>
  <c r="P34" i="22"/>
  <c r="P37" i="22"/>
  <c r="I41" i="2"/>
  <c r="S45" i="22"/>
  <c r="T45" i="22"/>
  <c r="U45" i="22"/>
  <c r="V23" i="9"/>
  <c r="X23" i="9"/>
  <c r="V22" i="9"/>
  <c r="X22" i="9"/>
  <c r="V21" i="9"/>
  <c r="X21" i="9"/>
  <c r="V20" i="9"/>
  <c r="X20" i="9"/>
  <c r="V19" i="9"/>
  <c r="X19" i="9"/>
  <c r="V18" i="9"/>
  <c r="X18" i="9"/>
  <c r="V17" i="9"/>
  <c r="X17" i="9"/>
  <c r="V16" i="9"/>
  <c r="X16" i="9"/>
  <c r="V11" i="9"/>
  <c r="X11" i="9"/>
  <c r="V15" i="9"/>
  <c r="X15" i="9"/>
  <c r="V14" i="9"/>
  <c r="X14" i="9"/>
  <c r="J15" i="9"/>
  <c r="L15" i="9"/>
  <c r="J16" i="9"/>
  <c r="L16" i="9"/>
  <c r="J14" i="9"/>
  <c r="L14" i="9"/>
  <c r="J13" i="9"/>
  <c r="L13" i="9"/>
  <c r="J12" i="9"/>
  <c r="L12" i="9"/>
  <c r="J11" i="9"/>
  <c r="L11" i="9"/>
  <c r="J10" i="9"/>
  <c r="L10" i="9"/>
  <c r="J9" i="9"/>
  <c r="L9" i="9"/>
  <c r="J8" i="9"/>
  <c r="L8" i="9"/>
  <c r="J7" i="9"/>
  <c r="L7" i="9"/>
  <c r="J6" i="9"/>
  <c r="J18" i="9"/>
  <c r="L18" i="9"/>
  <c r="J19" i="9"/>
  <c r="L19" i="9"/>
  <c r="J20" i="9"/>
  <c r="L20" i="9"/>
  <c r="J21" i="9"/>
  <c r="L21" i="9"/>
  <c r="V13" i="9"/>
  <c r="X13" i="9"/>
  <c r="V12" i="9"/>
  <c r="X12" i="9"/>
  <c r="V10" i="9"/>
  <c r="X10" i="9"/>
  <c r="V9" i="9"/>
  <c r="X9" i="9"/>
  <c r="V8" i="9"/>
  <c r="X8" i="9"/>
  <c r="V7" i="9"/>
  <c r="X7" i="9"/>
  <c r="J17" i="9"/>
  <c r="L17" i="9"/>
  <c r="L6" i="9"/>
  <c r="C42" i="18"/>
  <c r="C41" i="18"/>
  <c r="C14" i="18"/>
  <c r="C13" i="18"/>
  <c r="C11" i="18"/>
  <c r="C10" i="18"/>
  <c r="D11" i="18"/>
  <c r="D10" i="18"/>
  <c r="C8" i="18"/>
  <c r="AA65" i="18"/>
  <c r="F65" i="18"/>
  <c r="A1" i="9"/>
  <c r="K16" i="1"/>
  <c r="K15" i="1"/>
  <c r="C108" i="2"/>
  <c r="C107" i="2"/>
  <c r="C106" i="2"/>
  <c r="C105" i="2"/>
  <c r="C104" i="2"/>
  <c r="C103" i="2"/>
  <c r="C29" i="2"/>
  <c r="AO6" i="11"/>
  <c r="AR18" i="11"/>
  <c r="AR19" i="11"/>
  <c r="AR20" i="11"/>
  <c r="AO5" i="11"/>
  <c r="R24" i="1"/>
  <c r="AD7" i="11"/>
  <c r="AD6" i="11"/>
  <c r="AG18" i="11"/>
  <c r="AD5" i="11"/>
  <c r="AD4" i="11"/>
  <c r="F39" i="18"/>
  <c r="D6" i="11"/>
  <c r="D5" i="11"/>
  <c r="D4" i="11"/>
  <c r="G5" i="3"/>
  <c r="C32" i="9"/>
  <c r="F3" i="2"/>
  <c r="G3" i="2"/>
  <c r="H3" i="2"/>
  <c r="I3" i="2"/>
  <c r="J3" i="2"/>
  <c r="K3" i="2"/>
  <c r="L3" i="2"/>
  <c r="M3" i="2"/>
  <c r="N3" i="2"/>
  <c r="E43" i="2"/>
  <c r="H11" i="1"/>
  <c r="F33" i="9"/>
  <c r="G33" i="9"/>
  <c r="H33" i="9"/>
  <c r="I33" i="9"/>
  <c r="J33" i="9"/>
  <c r="C6" i="12"/>
  <c r="K49" i="3"/>
  <c r="K50" i="3"/>
  <c r="I52" i="22"/>
  <c r="I53" i="22"/>
  <c r="G50" i="3"/>
  <c r="F7" i="22"/>
  <c r="J46" i="22"/>
  <c r="D9" i="22"/>
  <c r="F11" i="22"/>
  <c r="F6" i="22"/>
  <c r="I15" i="22"/>
  <c r="K46" i="22"/>
  <c r="M46" i="22"/>
  <c r="L46" i="22"/>
  <c r="N46" i="22"/>
  <c r="O46" i="22"/>
  <c r="O18" i="22"/>
  <c r="P46" i="22"/>
  <c r="Q46" i="22"/>
  <c r="R46" i="22"/>
  <c r="S46" i="22"/>
  <c r="T46" i="22"/>
  <c r="U46" i="22"/>
  <c r="D19" i="1"/>
  <c r="D21" i="1"/>
  <c r="C109" i="2"/>
  <c r="C110" i="2"/>
  <c r="C111" i="2"/>
  <c r="C112" i="2"/>
  <c r="C113" i="2"/>
  <c r="C100" i="2"/>
  <c r="C98" i="2"/>
  <c r="C97" i="2"/>
  <c r="D97" i="2"/>
  <c r="C96" i="2"/>
  <c r="C95" i="2"/>
  <c r="C94" i="2"/>
  <c r="C93" i="2"/>
  <c r="C92" i="2"/>
  <c r="C91" i="2"/>
  <c r="C90" i="2"/>
  <c r="C89" i="2"/>
  <c r="C88" i="2"/>
  <c r="C87" i="2"/>
  <c r="C86" i="2"/>
  <c r="C85" i="2"/>
  <c r="C84" i="2"/>
  <c r="C83" i="2"/>
  <c r="C82" i="2"/>
  <c r="C81" i="2"/>
  <c r="C80" i="2"/>
  <c r="C79" i="2"/>
  <c r="C78" i="2"/>
  <c r="C76" i="2"/>
  <c r="C74" i="2"/>
  <c r="C73" i="2"/>
  <c r="C72" i="2"/>
  <c r="C71" i="2"/>
  <c r="C70" i="2"/>
  <c r="C69" i="2"/>
  <c r="C68" i="2"/>
  <c r="C67" i="2"/>
  <c r="C66" i="2"/>
  <c r="C65" i="2"/>
  <c r="C64" i="2"/>
  <c r="C63" i="2"/>
  <c r="C61" i="2"/>
  <c r="C60" i="2"/>
  <c r="C59" i="2"/>
  <c r="C58" i="2"/>
  <c r="C57" i="2"/>
  <c r="C55" i="2"/>
  <c r="C54" i="2"/>
  <c r="C53" i="2"/>
  <c r="C52" i="2"/>
  <c r="D52" i="2"/>
  <c r="D8" i="2"/>
  <c r="E8" i="2"/>
  <c r="F8" i="2"/>
  <c r="G8" i="2"/>
  <c r="H8" i="2"/>
  <c r="I8" i="2"/>
  <c r="J8" i="2"/>
  <c r="K8" i="2"/>
  <c r="L8" i="2"/>
  <c r="M8" i="2"/>
  <c r="N8" i="2"/>
  <c r="D31" i="2"/>
  <c r="D32" i="2"/>
  <c r="D33" i="2"/>
  <c r="C48" i="2"/>
  <c r="C47" i="2"/>
  <c r="C46" i="2"/>
  <c r="C45" i="2"/>
  <c r="C44" i="2"/>
  <c r="C43" i="2"/>
  <c r="C42" i="2"/>
  <c r="C41" i="2"/>
  <c r="C40" i="2"/>
  <c r="C39" i="2"/>
  <c r="C38" i="2"/>
  <c r="C37" i="2"/>
  <c r="C36" i="2"/>
  <c r="C35" i="2"/>
  <c r="C34" i="2"/>
  <c r="C33" i="2"/>
  <c r="C32" i="2"/>
  <c r="C31" i="2"/>
  <c r="C14" i="2"/>
  <c r="C13" i="2"/>
  <c r="C12" i="2"/>
  <c r="C11" i="2"/>
  <c r="C8" i="2"/>
  <c r="E27" i="2"/>
  <c r="F27" i="2"/>
  <c r="G27" i="2"/>
  <c r="H27" i="2"/>
  <c r="I27" i="2"/>
  <c r="J27" i="2"/>
  <c r="K27" i="2"/>
  <c r="L27" i="2"/>
  <c r="M27" i="2"/>
  <c r="N27" i="2"/>
  <c r="E26" i="2"/>
  <c r="F26" i="2"/>
  <c r="G26" i="2"/>
  <c r="H26" i="2"/>
  <c r="I26" i="2"/>
  <c r="J26" i="2"/>
  <c r="K26" i="2"/>
  <c r="L26" i="2"/>
  <c r="M26" i="2"/>
  <c r="N26" i="2"/>
  <c r="E25" i="2"/>
  <c r="F25" i="2"/>
  <c r="G25" i="2"/>
  <c r="H25" i="2"/>
  <c r="I25" i="2"/>
  <c r="J25" i="2"/>
  <c r="K25" i="2"/>
  <c r="L25" i="2"/>
  <c r="M25" i="2"/>
  <c r="N25" i="2"/>
  <c r="E12" i="2"/>
  <c r="F12" i="2"/>
  <c r="G12" i="2"/>
  <c r="H12" i="2"/>
  <c r="I12" i="2"/>
  <c r="J12" i="2"/>
  <c r="K12" i="2"/>
  <c r="L12" i="2"/>
  <c r="M12" i="2"/>
  <c r="N12" i="2"/>
  <c r="C30" i="2"/>
  <c r="C27" i="2"/>
  <c r="C26" i="2"/>
  <c r="C25" i="2"/>
  <c r="C24" i="2"/>
  <c r="C23" i="2"/>
  <c r="C22" i="2"/>
  <c r="C21" i="2"/>
  <c r="C20" i="2"/>
  <c r="C19" i="2"/>
  <c r="C18" i="2"/>
  <c r="C17" i="2"/>
  <c r="E24" i="2"/>
  <c r="F24" i="2"/>
  <c r="G24" i="2"/>
  <c r="H24" i="2"/>
  <c r="I24" i="2"/>
  <c r="J24" i="2"/>
  <c r="K24" i="2"/>
  <c r="L24" i="2"/>
  <c r="M24" i="2"/>
  <c r="N24" i="2"/>
  <c r="E23" i="2"/>
  <c r="F23" i="2"/>
  <c r="G23" i="2"/>
  <c r="H23" i="2"/>
  <c r="I23" i="2"/>
  <c r="J23" i="2"/>
  <c r="K23" i="2"/>
  <c r="L23" i="2"/>
  <c r="M23" i="2"/>
  <c r="N23" i="2"/>
  <c r="E22" i="2"/>
  <c r="F22" i="2"/>
  <c r="G22" i="2"/>
  <c r="H22" i="2"/>
  <c r="I22" i="2"/>
  <c r="J22" i="2"/>
  <c r="K22" i="2"/>
  <c r="L22" i="2"/>
  <c r="M22" i="2"/>
  <c r="N22" i="2"/>
  <c r="E21" i="2"/>
  <c r="F21" i="2"/>
  <c r="G21" i="2"/>
  <c r="H21" i="2"/>
  <c r="I21" i="2"/>
  <c r="J21" i="2"/>
  <c r="K21" i="2"/>
  <c r="L21" i="2"/>
  <c r="M21" i="2"/>
  <c r="N21" i="2"/>
  <c r="E20" i="2"/>
  <c r="F20" i="2"/>
  <c r="G20" i="2"/>
  <c r="H20" i="2"/>
  <c r="I20" i="2"/>
  <c r="J20" i="2"/>
  <c r="K20" i="2"/>
  <c r="L20" i="2"/>
  <c r="M20" i="2"/>
  <c r="N20" i="2"/>
  <c r="E19" i="2"/>
  <c r="F19" i="2"/>
  <c r="G19" i="2"/>
  <c r="H19" i="2"/>
  <c r="I19" i="2"/>
  <c r="J19" i="2"/>
  <c r="K19" i="2"/>
  <c r="L19" i="2"/>
  <c r="M19" i="2"/>
  <c r="N19" i="2"/>
  <c r="C7" i="2"/>
  <c r="E7" i="2"/>
  <c r="F7" i="2"/>
  <c r="G7" i="2"/>
  <c r="H7" i="2"/>
  <c r="I7" i="2"/>
  <c r="J7" i="2"/>
  <c r="K7" i="2"/>
  <c r="L7" i="2"/>
  <c r="M7" i="2"/>
  <c r="N7" i="2"/>
  <c r="E11" i="2"/>
  <c r="P32" i="1"/>
  <c r="T17" i="1"/>
  <c r="AO7" i="11"/>
  <c r="G43" i="3"/>
  <c r="F11" i="2"/>
  <c r="L44" i="22"/>
  <c r="D10" i="22"/>
  <c r="E8" i="22"/>
  <c r="F8" i="22"/>
  <c r="G11" i="2"/>
  <c r="M44" i="22"/>
  <c r="T4" i="1"/>
  <c r="S5" i="1"/>
  <c r="S6" i="1"/>
  <c r="S7" i="1"/>
  <c r="S8" i="1"/>
  <c r="S9" i="1"/>
  <c r="S10" i="1"/>
  <c r="S11" i="1"/>
  <c r="S12" i="1"/>
  <c r="S13" i="1"/>
  <c r="P31" i="1"/>
  <c r="M5" i="1"/>
  <c r="L32" i="9"/>
  <c r="D26" i="1"/>
  <c r="O18" i="11" s="1"/>
  <c r="N18" i="11" s="1"/>
  <c r="H2" i="1"/>
  <c r="I2" i="1"/>
  <c r="J2" i="1"/>
  <c r="K2" i="1"/>
  <c r="M7" i="1"/>
  <c r="M6" i="1"/>
  <c r="M4" i="1"/>
  <c r="A1" i="21"/>
  <c r="J36" i="9"/>
  <c r="I36" i="9"/>
  <c r="G36" i="9"/>
  <c r="G37" i="9"/>
  <c r="H36" i="9"/>
  <c r="H11" i="2"/>
  <c r="N44" i="22"/>
  <c r="T5" i="1"/>
  <c r="T6" i="1"/>
  <c r="T7" i="1"/>
  <c r="T8" i="1"/>
  <c r="T9" i="1"/>
  <c r="T10" i="1"/>
  <c r="T11" i="1"/>
  <c r="T12" i="1"/>
  <c r="T13" i="1"/>
  <c r="D7" i="11"/>
  <c r="F18" i="11"/>
  <c r="K48" i="3"/>
  <c r="K46" i="3"/>
  <c r="K45" i="3"/>
  <c r="K47" i="3"/>
  <c r="K53" i="3"/>
  <c r="Q34" i="1"/>
  <c r="Q35" i="1"/>
  <c r="Q33" i="1"/>
  <c r="Q32" i="1"/>
  <c r="Q43" i="1"/>
  <c r="I11" i="2"/>
  <c r="O44" i="22"/>
  <c r="E53" i="2"/>
  <c r="H37" i="9"/>
  <c r="F53" i="2"/>
  <c r="I37" i="9"/>
  <c r="J37" i="9"/>
  <c r="G53" i="2"/>
  <c r="F22" i="18"/>
  <c r="AC22" i="18"/>
  <c r="F20" i="18"/>
  <c r="AC20" i="18"/>
  <c r="F19" i="18"/>
  <c r="AC19" i="18"/>
  <c r="F17" i="18"/>
  <c r="AC17" i="18"/>
  <c r="J11" i="2"/>
  <c r="P44" i="22"/>
  <c r="E52" i="2"/>
  <c r="K11" i="2"/>
  <c r="Q44" i="22"/>
  <c r="F52" i="2"/>
  <c r="F54" i="2"/>
  <c r="H31" i="9"/>
  <c r="I31" i="9"/>
  <c r="J31" i="9"/>
  <c r="L11" i="2"/>
  <c r="R44" i="22"/>
  <c r="G52" i="2"/>
  <c r="G54" i="2"/>
  <c r="M11" i="2"/>
  <c r="S44" i="22"/>
  <c r="H52" i="2"/>
  <c r="AI6" i="11"/>
  <c r="AI7" i="11"/>
  <c r="AI8" i="11"/>
  <c r="AI9" i="11"/>
  <c r="AI10" i="11"/>
  <c r="AI11" i="11"/>
  <c r="AI12" i="11"/>
  <c r="AI13" i="11"/>
  <c r="AI14" i="11"/>
  <c r="AI15" i="11"/>
  <c r="AT6" i="11"/>
  <c r="AT7" i="11"/>
  <c r="AT8" i="11"/>
  <c r="AT9" i="11"/>
  <c r="AT10" i="11"/>
  <c r="AT11" i="11"/>
  <c r="AT12" i="11"/>
  <c r="AT13" i="11"/>
  <c r="AT14" i="11"/>
  <c r="AT15" i="11"/>
  <c r="C48" i="18"/>
  <c r="C47" i="18"/>
  <c r="W24" i="9"/>
  <c r="W26" i="9"/>
  <c r="K24" i="9"/>
  <c r="K26" i="9"/>
  <c r="Z14" i="18"/>
  <c r="X14" i="18"/>
  <c r="V14" i="18"/>
  <c r="T14" i="18"/>
  <c r="R14" i="18"/>
  <c r="P14" i="18"/>
  <c r="H3" i="18"/>
  <c r="V6" i="11"/>
  <c r="V7" i="11"/>
  <c r="V8" i="11"/>
  <c r="V9" i="11"/>
  <c r="V10" i="11"/>
  <c r="V11" i="11"/>
  <c r="V12" i="11"/>
  <c r="V13" i="11"/>
  <c r="V14" i="11"/>
  <c r="V15" i="11"/>
  <c r="I6" i="11"/>
  <c r="I7" i="11"/>
  <c r="H39" i="18"/>
  <c r="H40" i="18"/>
  <c r="H21" i="18"/>
  <c r="N11" i="2"/>
  <c r="U44" i="22"/>
  <c r="T44" i="22"/>
  <c r="H65" i="18"/>
  <c r="I52" i="2"/>
  <c r="I3" i="18"/>
  <c r="G3" i="18"/>
  <c r="G55" i="18"/>
  <c r="G66" i="18"/>
  <c r="K28" i="9"/>
  <c r="W28" i="9"/>
  <c r="I8" i="11"/>
  <c r="G63" i="18"/>
  <c r="G75" i="18"/>
  <c r="G65" i="18"/>
  <c r="G70" i="18"/>
  <c r="G71" i="18"/>
  <c r="I65" i="18"/>
  <c r="I70" i="18"/>
  <c r="J52" i="2"/>
  <c r="I9" i="11"/>
  <c r="G79" i="18"/>
  <c r="G84" i="18"/>
  <c r="G62" i="18"/>
  <c r="G74" i="18"/>
  <c r="G83" i="18"/>
  <c r="I69" i="18"/>
  <c r="G69" i="18"/>
  <c r="K52" i="2"/>
  <c r="I10" i="11"/>
  <c r="G87" i="18"/>
  <c r="G88" i="18"/>
  <c r="L52" i="2"/>
  <c r="I11" i="11"/>
  <c r="M52" i="2"/>
  <c r="I12" i="11"/>
  <c r="G93" i="18"/>
  <c r="G97" i="18"/>
  <c r="G92" i="18"/>
  <c r="N52" i="2"/>
  <c r="I13" i="11"/>
  <c r="G96" i="18"/>
  <c r="I14" i="11"/>
  <c r="I15" i="11"/>
  <c r="N14" i="18"/>
  <c r="Q23" i="1"/>
  <c r="P38" i="1"/>
  <c r="Q4" i="1"/>
  <c r="Q38" i="1"/>
  <c r="A1" i="18"/>
  <c r="A65" i="18" s="1"/>
  <c r="A1" i="11"/>
  <c r="A15" i="19"/>
  <c r="C15" i="19"/>
  <c r="C7" i="19"/>
  <c r="C2" i="19"/>
  <c r="A1" i="19"/>
  <c r="E1" i="19"/>
  <c r="G1" i="19"/>
  <c r="I1" i="19"/>
  <c r="K1" i="19"/>
  <c r="M1" i="19"/>
  <c r="O1" i="19"/>
  <c r="Q1" i="19"/>
  <c r="S1" i="19"/>
  <c r="U1" i="19"/>
  <c r="C18" i="20"/>
  <c r="C32" i="20"/>
  <c r="C46" i="20"/>
  <c r="C60" i="20"/>
  <c r="C74" i="20"/>
  <c r="AG88" i="20"/>
  <c r="AF88" i="20"/>
  <c r="AC88" i="20"/>
  <c r="AB88" i="20"/>
  <c r="Y88" i="20"/>
  <c r="X88" i="20"/>
  <c r="U88" i="20"/>
  <c r="T88" i="20"/>
  <c r="Q88" i="20"/>
  <c r="P88" i="20"/>
  <c r="M88" i="20"/>
  <c r="L88" i="20"/>
  <c r="D4" i="20"/>
  <c r="E4" i="20"/>
  <c r="F4" i="20"/>
  <c r="G4" i="20"/>
  <c r="D18" i="20"/>
  <c r="B76" i="20"/>
  <c r="B77" i="20"/>
  <c r="B78" i="20"/>
  <c r="B79" i="20"/>
  <c r="B80" i="20"/>
  <c r="B81" i="20"/>
  <c r="B82" i="20"/>
  <c r="B83" i="20"/>
  <c r="B84" i="20"/>
  <c r="B85" i="20"/>
  <c r="B62" i="20"/>
  <c r="B63" i="20"/>
  <c r="B64" i="20"/>
  <c r="B65" i="20"/>
  <c r="B66" i="20"/>
  <c r="B67" i="20"/>
  <c r="B68" i="20"/>
  <c r="B69" i="20"/>
  <c r="B70" i="20"/>
  <c r="B71" i="20"/>
  <c r="B48" i="20"/>
  <c r="B49" i="20"/>
  <c r="B50" i="20"/>
  <c r="B51" i="20"/>
  <c r="B52" i="20"/>
  <c r="B53" i="20"/>
  <c r="B54" i="20"/>
  <c r="B55" i="20"/>
  <c r="B56" i="20"/>
  <c r="B57" i="20"/>
  <c r="B34" i="20"/>
  <c r="B35" i="20"/>
  <c r="B36" i="20"/>
  <c r="B37" i="20"/>
  <c r="B38" i="20"/>
  <c r="B39" i="20"/>
  <c r="B40" i="20"/>
  <c r="B41" i="20"/>
  <c r="B42" i="20"/>
  <c r="B43" i="20"/>
  <c r="B20" i="20"/>
  <c r="B21" i="20"/>
  <c r="B22" i="20"/>
  <c r="B23" i="20"/>
  <c r="B24" i="20"/>
  <c r="B25" i="20"/>
  <c r="B26" i="20"/>
  <c r="B27" i="20"/>
  <c r="B28" i="20"/>
  <c r="B29" i="20"/>
  <c r="B6" i="20"/>
  <c r="B7" i="20"/>
  <c r="B8" i="20"/>
  <c r="B9" i="20"/>
  <c r="B10" i="20"/>
  <c r="B11" i="20"/>
  <c r="B12" i="20"/>
  <c r="B13" i="20"/>
  <c r="B14" i="20"/>
  <c r="B15" i="20"/>
  <c r="E18" i="20"/>
  <c r="F18" i="20"/>
  <c r="G18" i="20"/>
  <c r="D32" i="20"/>
  <c r="E32" i="20"/>
  <c r="F32" i="20"/>
  <c r="G32" i="20"/>
  <c r="D46" i="20"/>
  <c r="A90" i="20"/>
  <c r="A1" i="20"/>
  <c r="B91" i="20"/>
  <c r="B92" i="20"/>
  <c r="B93" i="20"/>
  <c r="B94" i="20"/>
  <c r="B95" i="20"/>
  <c r="B96" i="20"/>
  <c r="B97" i="20"/>
  <c r="B98" i="20"/>
  <c r="B99" i="20"/>
  <c r="AD89" i="20"/>
  <c r="B73" i="20"/>
  <c r="Z89" i="20"/>
  <c r="V89" i="20"/>
  <c r="R89" i="20"/>
  <c r="N89" i="20"/>
  <c r="J89" i="20"/>
  <c r="E46" i="20"/>
  <c r="F46" i="20"/>
  <c r="G46" i="20"/>
  <c r="D60" i="20"/>
  <c r="B17" i="20"/>
  <c r="D87" i="20"/>
  <c r="B31" i="20"/>
  <c r="E87" i="20"/>
  <c r="B59" i="20"/>
  <c r="G87" i="20"/>
  <c r="B45" i="20"/>
  <c r="F87" i="20"/>
  <c r="H87" i="20"/>
  <c r="B3" i="20"/>
  <c r="C87" i="20"/>
  <c r="E60" i="20"/>
  <c r="F60" i="20"/>
  <c r="G60" i="20"/>
  <c r="D74" i="20"/>
  <c r="E74" i="20"/>
  <c r="F74" i="20"/>
  <c r="G74" i="20"/>
  <c r="A10" i="12"/>
  <c r="A18" i="12"/>
  <c r="A26" i="12"/>
  <c r="A34" i="12"/>
  <c r="A42" i="12"/>
  <c r="A50" i="12"/>
  <c r="A58" i="12"/>
  <c r="A66" i="12"/>
  <c r="A74" i="12"/>
  <c r="A91" i="20"/>
  <c r="A96" i="20"/>
  <c r="A97" i="20"/>
  <c r="A95" i="20"/>
  <c r="A92" i="20"/>
  <c r="A94" i="20"/>
  <c r="A98" i="20"/>
  <c r="A99" i="20"/>
  <c r="A93" i="20"/>
  <c r="AO487" i="11"/>
  <c r="AO488" i="11"/>
  <c r="AO489" i="11"/>
  <c r="AO490" i="11"/>
  <c r="AO491" i="11"/>
  <c r="AO492" i="11"/>
  <c r="AO493" i="11"/>
  <c r="AO494" i="11"/>
  <c r="AO495" i="11"/>
  <c r="AO496" i="11"/>
  <c r="AO497" i="11"/>
  <c r="AO475" i="11"/>
  <c r="AO476" i="11"/>
  <c r="AO477" i="11"/>
  <c r="AO478" i="11"/>
  <c r="AO479" i="11"/>
  <c r="AO480" i="11"/>
  <c r="AO481" i="11"/>
  <c r="AO482" i="11"/>
  <c r="AO483" i="11"/>
  <c r="AO484" i="11"/>
  <c r="AO485" i="11"/>
  <c r="AO463" i="11"/>
  <c r="AO464" i="11"/>
  <c r="AO465" i="11"/>
  <c r="AO466" i="11"/>
  <c r="AO467" i="11"/>
  <c r="AO468" i="11"/>
  <c r="AO469" i="11"/>
  <c r="AO470" i="11"/>
  <c r="AO471" i="11"/>
  <c r="AO472" i="11"/>
  <c r="AO473" i="11"/>
  <c r="AO451" i="11"/>
  <c r="AO452" i="11"/>
  <c r="AO453" i="11"/>
  <c r="AO454" i="11"/>
  <c r="AO455" i="11"/>
  <c r="AO456" i="11"/>
  <c r="AO457" i="11"/>
  <c r="AO458" i="11"/>
  <c r="AO459" i="11"/>
  <c r="AO460" i="11"/>
  <c r="AO461" i="11"/>
  <c r="AO439" i="11"/>
  <c r="AO440" i="11"/>
  <c r="AO441" i="11"/>
  <c r="AO442" i="11"/>
  <c r="AO443" i="11"/>
  <c r="AO444" i="11"/>
  <c r="AO445" i="11"/>
  <c r="AO446" i="11"/>
  <c r="AO447" i="11"/>
  <c r="AO448" i="11"/>
  <c r="AO449" i="11"/>
  <c r="AO427" i="11"/>
  <c r="AO428" i="11"/>
  <c r="AO429" i="11"/>
  <c r="AO430" i="11"/>
  <c r="AO431" i="11"/>
  <c r="AO432" i="11"/>
  <c r="AO433" i="11"/>
  <c r="AO434" i="11"/>
  <c r="AO435" i="11"/>
  <c r="AO436" i="11"/>
  <c r="AO437" i="11"/>
  <c r="AO415" i="11"/>
  <c r="AO416" i="11"/>
  <c r="AO417" i="11"/>
  <c r="AO418" i="11"/>
  <c r="AO419" i="11"/>
  <c r="AO420" i="11"/>
  <c r="AO421" i="11"/>
  <c r="AO422" i="11"/>
  <c r="AO423" i="11"/>
  <c r="AO424" i="11"/>
  <c r="AO425" i="11"/>
  <c r="AO403" i="11"/>
  <c r="AO404" i="11"/>
  <c r="AO405" i="11"/>
  <c r="AO406" i="11"/>
  <c r="AO407" i="11"/>
  <c r="AO408" i="11"/>
  <c r="AO409" i="11"/>
  <c r="AO410" i="11"/>
  <c r="AO411" i="11"/>
  <c r="AO412" i="11"/>
  <c r="AO413" i="11"/>
  <c r="AO391" i="11"/>
  <c r="AO392" i="11"/>
  <c r="AO393" i="11"/>
  <c r="AO394" i="11"/>
  <c r="AO395" i="11"/>
  <c r="AO396" i="11"/>
  <c r="AO397" i="11"/>
  <c r="AO398" i="11"/>
  <c r="AO399" i="11"/>
  <c r="AO400" i="11"/>
  <c r="AO401" i="11"/>
  <c r="AO379" i="11"/>
  <c r="AO380" i="11"/>
  <c r="AO381" i="11"/>
  <c r="AO382" i="11"/>
  <c r="AO383" i="11"/>
  <c r="AO384" i="11"/>
  <c r="AO385" i="11"/>
  <c r="AO386" i="11"/>
  <c r="AO387" i="11"/>
  <c r="AO388" i="11"/>
  <c r="AO389" i="11"/>
  <c r="AO367" i="11"/>
  <c r="AO368" i="11"/>
  <c r="AO369" i="11"/>
  <c r="AO370" i="11"/>
  <c r="AO371" i="11"/>
  <c r="AO372" i="11"/>
  <c r="AO373" i="11"/>
  <c r="AO374" i="11"/>
  <c r="AO375" i="11"/>
  <c r="AO376" i="11"/>
  <c r="AO377" i="11"/>
  <c r="AO355" i="11"/>
  <c r="AO356" i="11"/>
  <c r="AO357" i="11"/>
  <c r="AO358" i="11"/>
  <c r="AO359" i="11"/>
  <c r="AO360" i="11"/>
  <c r="AO361" i="11"/>
  <c r="AO362" i="11"/>
  <c r="AO363" i="11"/>
  <c r="AO364" i="11"/>
  <c r="AO365" i="11"/>
  <c r="AO343" i="11"/>
  <c r="AO344" i="11"/>
  <c r="AO345" i="11"/>
  <c r="AO346" i="11"/>
  <c r="AO347" i="11"/>
  <c r="AO348" i="11"/>
  <c r="AO349" i="11"/>
  <c r="AO350" i="11"/>
  <c r="AO351" i="11"/>
  <c r="AO352" i="11"/>
  <c r="AO353" i="11"/>
  <c r="AO331" i="11"/>
  <c r="AO332" i="11"/>
  <c r="AO333" i="11"/>
  <c r="AO334" i="11"/>
  <c r="AO335" i="11"/>
  <c r="AO336" i="11"/>
  <c r="AO337" i="11"/>
  <c r="AO338" i="11"/>
  <c r="AO339" i="11"/>
  <c r="AO340" i="11"/>
  <c r="AO341" i="11"/>
  <c r="AO319" i="11"/>
  <c r="AO320" i="11"/>
  <c r="AO321" i="11"/>
  <c r="AO322" i="11"/>
  <c r="AO323" i="11"/>
  <c r="AO324" i="11"/>
  <c r="AO325" i="11"/>
  <c r="AO326" i="11"/>
  <c r="AO327" i="11"/>
  <c r="AO328" i="11"/>
  <c r="AO329" i="11"/>
  <c r="AO307" i="11"/>
  <c r="AO308" i="11"/>
  <c r="AO309" i="11"/>
  <c r="AO310" i="11"/>
  <c r="AO311" i="11"/>
  <c r="AO312" i="11"/>
  <c r="AO313" i="11"/>
  <c r="AO314" i="11"/>
  <c r="AO315" i="11"/>
  <c r="AO316" i="11"/>
  <c r="AO317" i="11"/>
  <c r="AO295" i="11"/>
  <c r="AO296" i="11"/>
  <c r="AO297" i="11"/>
  <c r="AO298" i="11"/>
  <c r="AO299" i="11"/>
  <c r="AO300" i="11"/>
  <c r="AO301" i="11"/>
  <c r="AO302" i="11"/>
  <c r="AO303" i="11"/>
  <c r="AO304" i="11"/>
  <c r="AO305" i="11"/>
  <c r="AO283" i="11"/>
  <c r="AO284" i="11"/>
  <c r="AO285" i="11"/>
  <c r="AO286" i="11"/>
  <c r="AO287" i="11"/>
  <c r="AO288" i="11"/>
  <c r="AO289" i="11"/>
  <c r="AO290" i="11"/>
  <c r="AO291" i="11"/>
  <c r="AO292" i="11"/>
  <c r="AO293" i="11"/>
  <c r="AO271" i="11"/>
  <c r="AO272" i="11"/>
  <c r="AO273" i="11"/>
  <c r="AO274" i="11"/>
  <c r="AO275" i="11"/>
  <c r="AO276" i="11"/>
  <c r="AO277" i="11"/>
  <c r="AO278" i="11"/>
  <c r="AO279" i="11"/>
  <c r="AO280" i="11"/>
  <c r="AO281" i="11"/>
  <c r="AO259" i="11"/>
  <c r="AO260" i="11"/>
  <c r="AO261" i="11"/>
  <c r="AO262" i="11"/>
  <c r="AO263" i="11"/>
  <c r="AO264" i="11"/>
  <c r="AO265" i="11"/>
  <c r="AO266" i="11"/>
  <c r="AO267" i="11"/>
  <c r="AO268" i="11"/>
  <c r="AO269" i="11"/>
  <c r="AO247" i="11"/>
  <c r="AO248" i="11"/>
  <c r="AO249" i="11"/>
  <c r="AO250" i="11"/>
  <c r="AO251" i="11"/>
  <c r="AO252" i="11"/>
  <c r="AO253" i="11"/>
  <c r="AO254" i="11"/>
  <c r="AO255" i="11"/>
  <c r="AO256" i="11"/>
  <c r="AO257" i="11"/>
  <c r="AO235" i="11"/>
  <c r="AO236" i="11"/>
  <c r="AO237" i="11"/>
  <c r="AO238" i="11"/>
  <c r="AO239" i="11"/>
  <c r="AO240" i="11"/>
  <c r="AO241" i="11"/>
  <c r="AO242" i="11"/>
  <c r="AO243" i="11"/>
  <c r="AO244" i="11"/>
  <c r="AO245" i="11"/>
  <c r="AO223" i="11"/>
  <c r="AO224" i="11"/>
  <c r="AO225" i="11"/>
  <c r="AO226" i="11"/>
  <c r="AO227" i="11"/>
  <c r="AO228" i="11"/>
  <c r="AO229" i="11"/>
  <c r="AO230" i="11"/>
  <c r="AO231" i="11"/>
  <c r="AO232" i="11"/>
  <c r="AO233" i="11"/>
  <c r="AO211" i="11"/>
  <c r="AO212" i="11"/>
  <c r="AO213" i="11"/>
  <c r="AO214" i="11"/>
  <c r="AO215" i="11"/>
  <c r="AO216" i="11"/>
  <c r="AO217" i="11"/>
  <c r="AO218" i="11"/>
  <c r="AO219" i="11"/>
  <c r="AO220" i="11"/>
  <c r="AO221" i="11"/>
  <c r="AO199" i="11"/>
  <c r="AO200" i="11"/>
  <c r="AO201" i="11"/>
  <c r="AO202" i="11"/>
  <c r="AO203" i="11"/>
  <c r="AO204" i="11"/>
  <c r="AO205" i="11"/>
  <c r="AO206" i="11"/>
  <c r="AO207" i="11"/>
  <c r="AO208" i="11"/>
  <c r="AO209" i="11"/>
  <c r="AO187" i="11"/>
  <c r="AO188" i="11"/>
  <c r="AO189" i="11"/>
  <c r="AO190" i="11"/>
  <c r="AO191" i="11"/>
  <c r="AO192" i="11"/>
  <c r="AO193" i="11"/>
  <c r="AO194" i="11"/>
  <c r="AO195" i="11"/>
  <c r="AO196" i="11"/>
  <c r="AO197" i="11"/>
  <c r="AO175" i="11"/>
  <c r="AO176" i="11"/>
  <c r="AO177" i="11"/>
  <c r="AO178" i="11"/>
  <c r="AO179" i="11"/>
  <c r="AO180" i="11"/>
  <c r="AO181" i="11"/>
  <c r="AO182" i="11"/>
  <c r="AO183" i="11"/>
  <c r="AO184" i="11"/>
  <c r="AO185" i="11"/>
  <c r="AO163" i="11"/>
  <c r="AO164" i="11"/>
  <c r="AO165" i="11"/>
  <c r="AO166" i="11"/>
  <c r="AO167" i="11"/>
  <c r="AO168" i="11"/>
  <c r="AO169" i="11"/>
  <c r="AO170" i="11"/>
  <c r="AO171" i="11"/>
  <c r="AO172" i="11"/>
  <c r="AO173" i="11"/>
  <c r="AO151" i="11"/>
  <c r="AO152" i="11"/>
  <c r="AO153" i="11"/>
  <c r="AO154" i="11"/>
  <c r="AO155" i="11"/>
  <c r="AO156" i="11"/>
  <c r="AO157" i="11"/>
  <c r="AO158" i="11"/>
  <c r="AO159" i="11"/>
  <c r="AO160" i="11"/>
  <c r="AO161" i="11"/>
  <c r="AO139" i="11"/>
  <c r="AO140" i="11"/>
  <c r="AO141" i="11"/>
  <c r="AO142" i="11"/>
  <c r="AO143" i="11"/>
  <c r="AO144" i="11"/>
  <c r="AO145" i="11"/>
  <c r="AO146" i="11"/>
  <c r="AO147" i="11"/>
  <c r="AO148" i="11"/>
  <c r="AO149" i="11"/>
  <c r="AO127" i="11"/>
  <c r="AO128" i="11"/>
  <c r="AO129" i="11"/>
  <c r="AO130" i="11"/>
  <c r="AO131" i="11"/>
  <c r="AO132" i="11"/>
  <c r="AO133" i="11"/>
  <c r="AO134" i="11"/>
  <c r="AO135" i="11"/>
  <c r="AO136" i="11"/>
  <c r="AO137" i="11"/>
  <c r="AO115" i="11"/>
  <c r="AO116" i="11"/>
  <c r="AO117" i="11"/>
  <c r="AO118" i="11"/>
  <c r="AO119" i="11"/>
  <c r="AO120" i="11"/>
  <c r="AO121" i="11"/>
  <c r="AO122" i="11"/>
  <c r="AO123" i="11"/>
  <c r="AO124" i="11"/>
  <c r="AO125" i="11"/>
  <c r="AO103" i="11"/>
  <c r="AO104" i="11"/>
  <c r="AO105" i="11"/>
  <c r="AO106" i="11"/>
  <c r="AO107" i="11"/>
  <c r="AO108" i="11"/>
  <c r="AO109" i="11"/>
  <c r="AO110" i="11"/>
  <c r="AO111" i="11"/>
  <c r="AO112" i="11"/>
  <c r="AO113" i="11"/>
  <c r="AO91" i="11"/>
  <c r="AO92" i="11"/>
  <c r="AO93" i="11"/>
  <c r="AO94" i="11"/>
  <c r="AO95" i="11"/>
  <c r="AO96" i="11"/>
  <c r="AO97" i="11"/>
  <c r="AO98" i="11"/>
  <c r="AO99" i="11"/>
  <c r="AO100" i="11"/>
  <c r="AO101" i="11"/>
  <c r="AO79" i="11"/>
  <c r="AO80" i="11"/>
  <c r="AO81" i="11"/>
  <c r="AO82" i="11"/>
  <c r="AO83" i="11"/>
  <c r="AO84" i="11"/>
  <c r="AO85" i="11"/>
  <c r="AO86" i="11"/>
  <c r="AO87" i="11"/>
  <c r="AO88" i="11"/>
  <c r="AO89" i="11"/>
  <c r="AO67" i="11"/>
  <c r="AO68" i="11"/>
  <c r="AO69" i="11"/>
  <c r="AO70" i="11"/>
  <c r="AO71" i="11"/>
  <c r="AO72" i="11"/>
  <c r="AO73" i="11"/>
  <c r="AO74" i="11"/>
  <c r="AO75" i="11"/>
  <c r="AO76" i="11"/>
  <c r="AO77" i="11"/>
  <c r="AO55" i="11"/>
  <c r="AO56" i="11"/>
  <c r="AO57" i="11"/>
  <c r="AO58" i="11"/>
  <c r="AO59" i="11"/>
  <c r="AO60" i="11"/>
  <c r="AO61" i="11"/>
  <c r="AO62" i="11"/>
  <c r="AO63" i="11"/>
  <c r="AO64" i="11"/>
  <c r="AO65" i="11"/>
  <c r="AO43" i="11"/>
  <c r="AO44" i="11"/>
  <c r="AO45" i="11"/>
  <c r="AO46" i="11"/>
  <c r="AO47" i="11"/>
  <c r="AO48" i="11"/>
  <c r="AO49" i="11"/>
  <c r="AO50" i="11"/>
  <c r="AO51" i="11"/>
  <c r="AO52" i="11"/>
  <c r="AO53" i="11"/>
  <c r="AO31" i="11"/>
  <c r="AO32" i="11"/>
  <c r="AO33" i="11"/>
  <c r="AO34" i="11"/>
  <c r="AO35" i="11"/>
  <c r="AO36" i="11"/>
  <c r="AO37" i="11"/>
  <c r="AO38" i="11"/>
  <c r="AO39" i="11"/>
  <c r="AO40" i="11"/>
  <c r="AO41" i="11"/>
  <c r="AO19" i="11"/>
  <c r="AO20" i="11"/>
  <c r="AO21" i="11"/>
  <c r="AO22" i="11"/>
  <c r="AO23" i="11"/>
  <c r="AO24" i="11"/>
  <c r="AO25" i="11"/>
  <c r="AO26" i="11"/>
  <c r="AO27" i="11"/>
  <c r="AO28" i="11"/>
  <c r="AO29" i="11"/>
  <c r="AQ18" i="11"/>
  <c r="AQ19" i="11"/>
  <c r="AQ20" i="11"/>
  <c r="AQ21" i="11"/>
  <c r="AQ22" i="11"/>
  <c r="AQ23" i="11"/>
  <c r="AQ24" i="11"/>
  <c r="AQ25" i="11"/>
  <c r="AQ26" i="11"/>
  <c r="AQ27" i="11"/>
  <c r="AQ28" i="11"/>
  <c r="AQ29" i="11"/>
  <c r="AQ30" i="11"/>
  <c r="AQ31" i="11"/>
  <c r="AQ32" i="11"/>
  <c r="AQ33" i="11"/>
  <c r="AQ34" i="11"/>
  <c r="AQ35" i="11"/>
  <c r="AQ36" i="11"/>
  <c r="AQ37" i="11"/>
  <c r="AQ38" i="11"/>
  <c r="AQ39" i="11"/>
  <c r="AQ40" i="11"/>
  <c r="AQ41" i="11"/>
  <c r="AQ42" i="11"/>
  <c r="AQ43" i="11"/>
  <c r="AQ44" i="11"/>
  <c r="AQ45" i="11"/>
  <c r="AQ46" i="11"/>
  <c r="AQ47" i="11"/>
  <c r="AQ48" i="11"/>
  <c r="AQ49" i="11"/>
  <c r="AQ50" i="11"/>
  <c r="AQ51" i="11"/>
  <c r="AQ52" i="11"/>
  <c r="AQ53" i="11"/>
  <c r="AQ54" i="11"/>
  <c r="AQ55" i="11"/>
  <c r="AQ56" i="11"/>
  <c r="AQ57" i="11"/>
  <c r="AQ58" i="11"/>
  <c r="AQ59" i="11"/>
  <c r="AQ60" i="11"/>
  <c r="AQ61" i="11"/>
  <c r="AQ62" i="11"/>
  <c r="AQ63" i="11"/>
  <c r="AQ64" i="11"/>
  <c r="AQ65" i="11"/>
  <c r="AQ66" i="11"/>
  <c r="AQ67" i="11"/>
  <c r="AQ68" i="11"/>
  <c r="AQ69" i="11"/>
  <c r="AQ70" i="11"/>
  <c r="AQ71" i="11"/>
  <c r="AQ72" i="11"/>
  <c r="AQ73" i="11"/>
  <c r="AQ74" i="11"/>
  <c r="AQ75" i="11"/>
  <c r="AQ76" i="11"/>
  <c r="AQ77" i="11"/>
  <c r="AQ78" i="11"/>
  <c r="AQ79" i="11"/>
  <c r="AQ80" i="11"/>
  <c r="AQ81" i="11"/>
  <c r="AQ82" i="11"/>
  <c r="AQ83" i="11"/>
  <c r="AQ84" i="11"/>
  <c r="AQ85" i="11"/>
  <c r="AQ86" i="11"/>
  <c r="AQ87" i="11"/>
  <c r="AQ88" i="11"/>
  <c r="AQ89" i="11"/>
  <c r="AQ90" i="11"/>
  <c r="AQ91" i="11"/>
  <c r="AQ92" i="11"/>
  <c r="AQ93" i="11"/>
  <c r="AQ94" i="11"/>
  <c r="AQ95" i="11"/>
  <c r="AQ96" i="11"/>
  <c r="AQ97" i="11"/>
  <c r="AQ98" i="11"/>
  <c r="AQ99" i="11"/>
  <c r="AQ100" i="11"/>
  <c r="AQ101" i="11"/>
  <c r="AQ102" i="11"/>
  <c r="AQ103" i="11"/>
  <c r="AQ104" i="11"/>
  <c r="AQ105" i="11"/>
  <c r="AQ106" i="11"/>
  <c r="AQ107" i="11"/>
  <c r="AQ108" i="11"/>
  <c r="AQ109" i="11"/>
  <c r="AQ110" i="11"/>
  <c r="AQ111" i="11"/>
  <c r="AQ112" i="11"/>
  <c r="AQ113" i="11"/>
  <c r="AQ114" i="11"/>
  <c r="AQ115" i="11"/>
  <c r="AQ116" i="11"/>
  <c r="AQ117" i="11"/>
  <c r="AQ118" i="11"/>
  <c r="AQ119" i="11"/>
  <c r="AQ120" i="11"/>
  <c r="AQ121" i="11"/>
  <c r="AQ122" i="11"/>
  <c r="AQ123" i="11"/>
  <c r="AQ124" i="11"/>
  <c r="AQ125" i="11"/>
  <c r="AQ126" i="11"/>
  <c r="AQ127" i="11"/>
  <c r="AQ128" i="11"/>
  <c r="AQ129" i="11"/>
  <c r="AQ130" i="11"/>
  <c r="AQ131" i="11"/>
  <c r="AQ132" i="11"/>
  <c r="AQ133" i="11"/>
  <c r="AQ134" i="11"/>
  <c r="AQ135" i="11"/>
  <c r="AQ136" i="11"/>
  <c r="AQ137" i="11"/>
  <c r="AQ138" i="11"/>
  <c r="AQ139" i="11"/>
  <c r="AQ140" i="11"/>
  <c r="AQ141" i="11"/>
  <c r="AQ142" i="11"/>
  <c r="AQ143" i="11"/>
  <c r="AQ144" i="11"/>
  <c r="AQ145" i="11"/>
  <c r="AQ146" i="11"/>
  <c r="AQ147" i="11"/>
  <c r="AQ148" i="11"/>
  <c r="AQ149" i="11"/>
  <c r="AQ150" i="11"/>
  <c r="AQ151" i="11"/>
  <c r="AQ152" i="11"/>
  <c r="AQ153" i="11"/>
  <c r="AQ154" i="11"/>
  <c r="AQ155" i="11"/>
  <c r="AQ156" i="11"/>
  <c r="AQ157" i="11"/>
  <c r="AQ158" i="11"/>
  <c r="AQ159" i="11"/>
  <c r="AQ160" i="11"/>
  <c r="AQ161" i="11"/>
  <c r="AQ162" i="11"/>
  <c r="AQ163" i="11"/>
  <c r="AQ164" i="11"/>
  <c r="AQ165" i="11"/>
  <c r="AQ166" i="11"/>
  <c r="AQ167" i="11"/>
  <c r="AQ168" i="11"/>
  <c r="AQ169" i="11"/>
  <c r="AQ170" i="11"/>
  <c r="AQ171" i="11"/>
  <c r="AQ172" i="11"/>
  <c r="AQ173" i="11"/>
  <c r="AQ174" i="11"/>
  <c r="AQ175" i="11"/>
  <c r="AQ176" i="11"/>
  <c r="AQ177" i="11"/>
  <c r="AQ178" i="11"/>
  <c r="AQ179" i="11"/>
  <c r="AQ180" i="11"/>
  <c r="AQ181" i="11"/>
  <c r="AQ182" i="11"/>
  <c r="AQ183" i="11"/>
  <c r="AQ184" i="11"/>
  <c r="AQ185" i="11"/>
  <c r="AQ186" i="11"/>
  <c r="AQ187" i="11"/>
  <c r="AQ188" i="11"/>
  <c r="AQ189" i="11"/>
  <c r="AQ190" i="11"/>
  <c r="AQ191" i="11"/>
  <c r="AQ192" i="11"/>
  <c r="AQ193" i="11"/>
  <c r="AQ194" i="11"/>
  <c r="AQ195" i="11"/>
  <c r="AQ196" i="11"/>
  <c r="AQ197" i="11"/>
  <c r="AQ198" i="11"/>
  <c r="AQ199" i="11"/>
  <c r="AQ200" i="11"/>
  <c r="AQ201" i="11"/>
  <c r="AQ202" i="11"/>
  <c r="AQ203" i="11"/>
  <c r="AQ204" i="11"/>
  <c r="AQ205" i="11"/>
  <c r="AQ206" i="11"/>
  <c r="AQ207" i="11"/>
  <c r="AQ208" i="11"/>
  <c r="AQ209" i="11"/>
  <c r="AQ210" i="11"/>
  <c r="AQ211" i="11"/>
  <c r="AQ212" i="11"/>
  <c r="AQ213" i="11"/>
  <c r="AQ214" i="11"/>
  <c r="AQ215" i="11"/>
  <c r="AQ216" i="11"/>
  <c r="AQ217" i="11"/>
  <c r="AQ218" i="11"/>
  <c r="AQ219" i="11"/>
  <c r="AQ220" i="11"/>
  <c r="AQ221" i="11"/>
  <c r="AQ222" i="11"/>
  <c r="AQ223" i="11"/>
  <c r="AQ224" i="11"/>
  <c r="AQ225" i="11"/>
  <c r="AQ226" i="11"/>
  <c r="AQ227" i="11"/>
  <c r="AQ228" i="11"/>
  <c r="AQ229" i="11"/>
  <c r="AQ230" i="11"/>
  <c r="AQ231" i="11"/>
  <c r="AQ232" i="11"/>
  <c r="AQ233" i="11"/>
  <c r="AQ234" i="11"/>
  <c r="AQ235" i="11"/>
  <c r="AQ236" i="11"/>
  <c r="AQ237" i="11"/>
  <c r="AQ238" i="11"/>
  <c r="AQ239" i="11"/>
  <c r="AQ240" i="11"/>
  <c r="AQ241" i="11"/>
  <c r="AQ242" i="11"/>
  <c r="AQ243" i="11"/>
  <c r="AQ244" i="11"/>
  <c r="AQ245" i="11"/>
  <c r="AQ246" i="11"/>
  <c r="AQ247" i="11"/>
  <c r="AQ248" i="11"/>
  <c r="AQ249" i="11"/>
  <c r="AQ250" i="11"/>
  <c r="AQ251" i="11"/>
  <c r="AQ252" i="11"/>
  <c r="AQ253" i="11"/>
  <c r="AQ254" i="11"/>
  <c r="AQ255" i="11"/>
  <c r="AQ256" i="11"/>
  <c r="AQ257" i="11"/>
  <c r="AQ258" i="11"/>
  <c r="AQ259" i="11"/>
  <c r="AQ260" i="11"/>
  <c r="AQ261" i="11"/>
  <c r="AQ262" i="11"/>
  <c r="AQ263" i="11"/>
  <c r="AQ264" i="11"/>
  <c r="AQ265" i="11"/>
  <c r="AQ266" i="11"/>
  <c r="AQ267" i="11"/>
  <c r="AQ268" i="11"/>
  <c r="AQ269" i="11"/>
  <c r="AQ270" i="11"/>
  <c r="AQ271" i="11"/>
  <c r="AQ272" i="11"/>
  <c r="AQ273" i="11"/>
  <c r="AQ274" i="11"/>
  <c r="AQ275" i="11"/>
  <c r="AQ276" i="11"/>
  <c r="AQ277" i="11"/>
  <c r="AQ278" i="11"/>
  <c r="AQ279" i="11"/>
  <c r="AQ280" i="11"/>
  <c r="AQ281" i="11"/>
  <c r="AQ282" i="11"/>
  <c r="AQ283" i="11"/>
  <c r="AQ284" i="11"/>
  <c r="AQ285" i="11"/>
  <c r="AQ286" i="11"/>
  <c r="AQ287" i="11"/>
  <c r="AQ288" i="11"/>
  <c r="AQ289" i="11"/>
  <c r="AQ290" i="11"/>
  <c r="AQ291" i="11"/>
  <c r="AQ292" i="11"/>
  <c r="AQ293" i="11"/>
  <c r="AQ294" i="11"/>
  <c r="AQ295" i="11"/>
  <c r="AQ296" i="11"/>
  <c r="AQ297" i="11"/>
  <c r="AQ298" i="11"/>
  <c r="AQ299" i="11"/>
  <c r="AQ300" i="11"/>
  <c r="AQ301" i="11"/>
  <c r="AQ302" i="11"/>
  <c r="AQ303" i="11"/>
  <c r="AQ304" i="11"/>
  <c r="AQ305" i="11"/>
  <c r="AQ306" i="11"/>
  <c r="AQ307" i="11"/>
  <c r="AQ308" i="11"/>
  <c r="AQ309" i="11"/>
  <c r="AQ310" i="11"/>
  <c r="AQ311" i="11"/>
  <c r="AQ312" i="11"/>
  <c r="AQ313" i="11"/>
  <c r="AQ314" i="11"/>
  <c r="AQ315" i="11"/>
  <c r="AQ316" i="11"/>
  <c r="AQ317" i="11"/>
  <c r="AQ318" i="11"/>
  <c r="AQ319" i="11"/>
  <c r="AQ320" i="11"/>
  <c r="AQ321" i="11"/>
  <c r="AQ322" i="11"/>
  <c r="AQ323" i="11"/>
  <c r="AQ324" i="11"/>
  <c r="AQ325" i="11"/>
  <c r="AQ326" i="11"/>
  <c r="AQ327" i="11"/>
  <c r="AQ328" i="11"/>
  <c r="AQ329" i="11"/>
  <c r="AQ330" i="11"/>
  <c r="AQ331" i="11"/>
  <c r="AQ332" i="11"/>
  <c r="AQ333" i="11"/>
  <c r="AQ334" i="11"/>
  <c r="AQ335" i="11"/>
  <c r="AQ336" i="11"/>
  <c r="AQ337" i="11"/>
  <c r="AQ338" i="11"/>
  <c r="AQ339" i="11"/>
  <c r="AQ340" i="11"/>
  <c r="AQ341" i="11"/>
  <c r="AQ342" i="11"/>
  <c r="AQ343" i="11"/>
  <c r="AQ344" i="11"/>
  <c r="AQ345" i="11"/>
  <c r="AQ346" i="11"/>
  <c r="AQ347" i="11"/>
  <c r="AQ348" i="11"/>
  <c r="AQ349" i="11"/>
  <c r="AQ350" i="11"/>
  <c r="AQ351" i="11"/>
  <c r="AQ352" i="11"/>
  <c r="AQ353" i="11"/>
  <c r="AQ354" i="11"/>
  <c r="AQ355" i="11"/>
  <c r="AQ356" i="11"/>
  <c r="AQ357" i="11"/>
  <c r="AQ358" i="11"/>
  <c r="AQ359" i="11"/>
  <c r="AQ360" i="11"/>
  <c r="AQ361" i="11"/>
  <c r="AQ362" i="11"/>
  <c r="AQ363" i="11"/>
  <c r="AQ364" i="11"/>
  <c r="AQ365" i="11"/>
  <c r="AQ366" i="11"/>
  <c r="AQ367" i="11"/>
  <c r="AQ368" i="11"/>
  <c r="AQ369" i="11"/>
  <c r="AQ370" i="11"/>
  <c r="AQ371" i="11"/>
  <c r="AQ372" i="11"/>
  <c r="AQ373" i="11"/>
  <c r="AQ374" i="11"/>
  <c r="AQ375" i="11"/>
  <c r="AQ376" i="11"/>
  <c r="AQ377" i="11"/>
  <c r="AQ378" i="11"/>
  <c r="AQ379" i="11"/>
  <c r="AQ380" i="11"/>
  <c r="AQ381" i="11"/>
  <c r="AQ382" i="11"/>
  <c r="AQ383" i="11"/>
  <c r="AQ384" i="11"/>
  <c r="AQ385" i="11"/>
  <c r="AQ386" i="11"/>
  <c r="AQ387" i="11"/>
  <c r="AQ388" i="11"/>
  <c r="AQ389" i="11"/>
  <c r="AQ390" i="11"/>
  <c r="AQ391" i="11"/>
  <c r="AQ392" i="11"/>
  <c r="AQ393" i="11"/>
  <c r="AQ394" i="11"/>
  <c r="AQ395" i="11"/>
  <c r="AQ396" i="11"/>
  <c r="AQ397" i="11"/>
  <c r="AQ398" i="11"/>
  <c r="AQ399" i="11"/>
  <c r="AQ400" i="11"/>
  <c r="AQ401" i="11"/>
  <c r="AQ402" i="11"/>
  <c r="AQ403" i="11"/>
  <c r="AQ404" i="11"/>
  <c r="AQ405" i="11"/>
  <c r="AQ406" i="11"/>
  <c r="AQ407" i="11"/>
  <c r="AQ408" i="11"/>
  <c r="AQ409" i="11"/>
  <c r="AQ410" i="11"/>
  <c r="AQ411" i="11"/>
  <c r="AQ412" i="11"/>
  <c r="AQ413" i="11"/>
  <c r="AQ414" i="11"/>
  <c r="AQ415" i="11"/>
  <c r="AQ416" i="11"/>
  <c r="AQ417" i="11"/>
  <c r="AQ418" i="11"/>
  <c r="AQ419" i="11"/>
  <c r="AQ420" i="11"/>
  <c r="AQ421" i="11"/>
  <c r="AQ422" i="11"/>
  <c r="AQ423" i="11"/>
  <c r="AQ424" i="11"/>
  <c r="AQ425" i="11"/>
  <c r="AQ426" i="11"/>
  <c r="AQ427" i="11"/>
  <c r="AQ428" i="11"/>
  <c r="AQ429" i="11"/>
  <c r="AQ430" i="11"/>
  <c r="AQ431" i="11"/>
  <c r="AQ432" i="11"/>
  <c r="AQ433" i="11"/>
  <c r="AQ434" i="11"/>
  <c r="AQ435" i="11"/>
  <c r="AQ436" i="11"/>
  <c r="AQ437" i="11"/>
  <c r="AQ438" i="11"/>
  <c r="AQ439" i="11"/>
  <c r="AQ440" i="11"/>
  <c r="AQ441" i="11"/>
  <c r="AQ442" i="11"/>
  <c r="AQ443" i="11"/>
  <c r="AQ444" i="11"/>
  <c r="AQ445" i="11"/>
  <c r="AQ446" i="11"/>
  <c r="AQ447" i="11"/>
  <c r="AQ448" i="11"/>
  <c r="AQ449" i="11"/>
  <c r="AQ450" i="11"/>
  <c r="AQ451" i="11"/>
  <c r="AQ452" i="11"/>
  <c r="AQ453" i="11"/>
  <c r="AQ454" i="11"/>
  <c r="AQ455" i="11"/>
  <c r="AQ456" i="11"/>
  <c r="AQ457" i="11"/>
  <c r="AQ458" i="11"/>
  <c r="AQ459" i="11"/>
  <c r="AQ460" i="11"/>
  <c r="AQ461" i="11"/>
  <c r="AQ462" i="11"/>
  <c r="AQ463" i="11"/>
  <c r="AQ464" i="11"/>
  <c r="AQ465" i="11"/>
  <c r="AQ466" i="11"/>
  <c r="AQ467" i="11"/>
  <c r="AQ468" i="11"/>
  <c r="AQ469" i="11"/>
  <c r="AQ470" i="11"/>
  <c r="AQ471" i="11"/>
  <c r="AQ472" i="11"/>
  <c r="AQ473" i="11"/>
  <c r="AQ474" i="11"/>
  <c r="AQ475" i="11"/>
  <c r="AQ476" i="11"/>
  <c r="AQ477" i="11"/>
  <c r="AQ478" i="11"/>
  <c r="AQ479" i="11"/>
  <c r="AQ480" i="11"/>
  <c r="AQ481" i="11"/>
  <c r="AQ482" i="11"/>
  <c r="AQ483" i="11"/>
  <c r="AQ484" i="11"/>
  <c r="AQ485" i="11"/>
  <c r="AQ486" i="11"/>
  <c r="AQ487" i="11"/>
  <c r="AQ488" i="11"/>
  <c r="AQ489" i="11"/>
  <c r="AQ490" i="11"/>
  <c r="AQ491" i="11"/>
  <c r="AQ492" i="11"/>
  <c r="AQ493" i="11"/>
  <c r="AQ494" i="11"/>
  <c r="AQ495" i="11"/>
  <c r="AQ496" i="11"/>
  <c r="AQ497" i="11"/>
  <c r="V6" i="9"/>
  <c r="X6" i="9"/>
  <c r="V5" i="9"/>
  <c r="X5" i="9"/>
  <c r="J5" i="9"/>
  <c r="F41" i="18"/>
  <c r="AC41" i="18"/>
  <c r="X24" i="9"/>
  <c r="X26" i="9"/>
  <c r="L5" i="9"/>
  <c r="L24" i="9"/>
  <c r="L26" i="9"/>
  <c r="X28" i="9"/>
  <c r="L28" i="9"/>
  <c r="F28" i="9"/>
  <c r="H28" i="9"/>
  <c r="G28" i="9"/>
  <c r="I28" i="9"/>
  <c r="U28" i="9"/>
  <c r="L25" i="18"/>
  <c r="R28" i="9"/>
  <c r="S28" i="9"/>
  <c r="T28" i="9"/>
  <c r="I39" i="18"/>
  <c r="C25" i="18"/>
  <c r="C27" i="18"/>
  <c r="L14" i="18"/>
  <c r="L26" i="18"/>
  <c r="J25" i="18"/>
  <c r="H25" i="18"/>
  <c r="F25" i="18"/>
  <c r="H27" i="18"/>
  <c r="F27" i="18"/>
  <c r="L27" i="18"/>
  <c r="J27" i="18"/>
  <c r="AC5" i="18"/>
  <c r="AD487" i="11"/>
  <c r="AD488" i="11"/>
  <c r="AD489" i="11"/>
  <c r="AD490" i="11"/>
  <c r="AD491" i="11"/>
  <c r="AD492" i="11"/>
  <c r="AD493" i="11"/>
  <c r="AD494" i="11"/>
  <c r="AD495" i="11"/>
  <c r="AD496" i="11"/>
  <c r="AD497" i="11"/>
  <c r="AD475" i="11"/>
  <c r="AD476" i="11"/>
  <c r="AD477" i="11"/>
  <c r="AD478" i="11"/>
  <c r="AD479" i="11"/>
  <c r="AD480" i="11"/>
  <c r="AD481" i="11"/>
  <c r="AD482" i="11"/>
  <c r="AD483" i="11"/>
  <c r="AD484" i="11"/>
  <c r="AD485" i="11"/>
  <c r="AD463" i="11"/>
  <c r="AD464" i="11"/>
  <c r="AD465" i="11"/>
  <c r="AD466" i="11"/>
  <c r="AD467" i="11"/>
  <c r="AD468" i="11"/>
  <c r="AD469" i="11"/>
  <c r="AD470" i="11"/>
  <c r="AD471" i="11"/>
  <c r="AD472" i="11"/>
  <c r="AD473" i="11"/>
  <c r="AD451" i="11"/>
  <c r="AD452" i="11"/>
  <c r="AD453" i="11"/>
  <c r="AD454" i="11"/>
  <c r="AD455" i="11"/>
  <c r="AD456" i="11"/>
  <c r="AD457" i="11"/>
  <c r="AD458" i="11"/>
  <c r="AD459" i="11"/>
  <c r="AD460" i="11"/>
  <c r="AD461" i="11"/>
  <c r="AD439" i="11"/>
  <c r="AD440" i="11"/>
  <c r="AD441" i="11"/>
  <c r="AD442" i="11"/>
  <c r="AD443" i="11"/>
  <c r="AD444" i="11"/>
  <c r="AD445" i="11"/>
  <c r="AD446" i="11"/>
  <c r="AD447" i="11"/>
  <c r="AD448" i="11"/>
  <c r="AD449" i="11"/>
  <c r="AD427" i="11"/>
  <c r="AD428" i="11"/>
  <c r="AD429" i="11"/>
  <c r="AD430" i="11"/>
  <c r="AD431" i="11"/>
  <c r="AD432" i="11"/>
  <c r="AD433" i="11"/>
  <c r="AD434" i="11"/>
  <c r="AD435" i="11"/>
  <c r="AD436" i="11"/>
  <c r="AD437" i="11"/>
  <c r="AD415" i="11"/>
  <c r="AD416" i="11"/>
  <c r="AD417" i="11"/>
  <c r="AD418" i="11"/>
  <c r="AD419" i="11"/>
  <c r="AD420" i="11"/>
  <c r="AD421" i="11"/>
  <c r="AD422" i="11"/>
  <c r="AD423" i="11"/>
  <c r="AD424" i="11"/>
  <c r="AD425" i="11"/>
  <c r="AD403" i="11"/>
  <c r="AD404" i="11"/>
  <c r="AD405" i="11"/>
  <c r="AD406" i="11"/>
  <c r="AD407" i="11"/>
  <c r="AD408" i="11"/>
  <c r="AD409" i="11"/>
  <c r="AD410" i="11"/>
  <c r="AD411" i="11"/>
  <c r="AD412" i="11"/>
  <c r="AD413" i="11"/>
  <c r="AD391" i="11"/>
  <c r="AD392" i="11"/>
  <c r="AD393" i="11"/>
  <c r="AD394" i="11"/>
  <c r="AD395" i="11"/>
  <c r="AD396" i="11"/>
  <c r="AD397" i="11"/>
  <c r="AD398" i="11"/>
  <c r="AD399" i="11"/>
  <c r="AD400" i="11"/>
  <c r="AD401" i="11"/>
  <c r="AD379" i="11"/>
  <c r="AD380" i="11"/>
  <c r="AD381" i="11"/>
  <c r="AD382" i="11"/>
  <c r="AD383" i="11"/>
  <c r="AD384" i="11"/>
  <c r="AD385" i="11"/>
  <c r="AD386" i="11"/>
  <c r="AD387" i="11"/>
  <c r="AD388" i="11"/>
  <c r="AD389" i="11"/>
  <c r="AD367" i="11"/>
  <c r="AD368" i="11"/>
  <c r="AD369" i="11"/>
  <c r="AD370" i="11"/>
  <c r="AD371" i="11"/>
  <c r="AD372" i="11"/>
  <c r="AD373" i="11"/>
  <c r="AD374" i="11"/>
  <c r="AD375" i="11"/>
  <c r="AD376" i="11"/>
  <c r="AD377" i="11"/>
  <c r="AD355" i="11"/>
  <c r="AD356" i="11"/>
  <c r="AD357" i="11"/>
  <c r="AD358" i="11"/>
  <c r="AD359" i="11"/>
  <c r="AD360" i="11"/>
  <c r="AD361" i="11"/>
  <c r="AD362" i="11"/>
  <c r="AD363" i="11"/>
  <c r="AD364" i="11"/>
  <c r="AD365" i="11"/>
  <c r="AD343" i="11"/>
  <c r="AD344" i="11"/>
  <c r="AD345" i="11"/>
  <c r="AD346" i="11"/>
  <c r="AD347" i="11"/>
  <c r="AD348" i="11"/>
  <c r="AD349" i="11"/>
  <c r="AD350" i="11"/>
  <c r="AD351" i="11"/>
  <c r="AD352" i="11"/>
  <c r="AD353" i="11"/>
  <c r="AD331" i="11"/>
  <c r="AD332" i="11"/>
  <c r="AD333" i="11"/>
  <c r="AD334" i="11"/>
  <c r="AD335" i="11"/>
  <c r="AD336" i="11"/>
  <c r="AD337" i="11"/>
  <c r="AD338" i="11"/>
  <c r="AD339" i="11"/>
  <c r="AD340" i="11"/>
  <c r="AD341" i="11"/>
  <c r="AD319" i="11"/>
  <c r="AD320" i="11"/>
  <c r="AD321" i="11"/>
  <c r="AD322" i="11"/>
  <c r="AD323" i="11"/>
  <c r="AD324" i="11"/>
  <c r="AD325" i="11"/>
  <c r="AD326" i="11"/>
  <c r="AD327" i="11"/>
  <c r="AD328" i="11"/>
  <c r="AD329" i="11"/>
  <c r="AD307" i="11"/>
  <c r="AD308" i="11"/>
  <c r="AD309" i="11"/>
  <c r="AD310" i="11"/>
  <c r="AD311" i="11"/>
  <c r="AD312" i="11"/>
  <c r="AD313" i="11"/>
  <c r="AD314" i="11"/>
  <c r="AD315" i="11"/>
  <c r="AD316" i="11"/>
  <c r="AD317" i="11"/>
  <c r="AD295" i="11"/>
  <c r="AD296" i="11"/>
  <c r="AD297" i="11"/>
  <c r="AD298" i="11"/>
  <c r="AD299" i="11"/>
  <c r="AD300" i="11"/>
  <c r="AD301" i="11"/>
  <c r="AD302" i="11"/>
  <c r="AD303" i="11"/>
  <c r="AD304" i="11"/>
  <c r="AD305" i="11"/>
  <c r="AD283" i="11"/>
  <c r="AD284" i="11"/>
  <c r="AD285" i="11"/>
  <c r="AD286" i="11"/>
  <c r="AD287" i="11"/>
  <c r="AD288" i="11"/>
  <c r="AD289" i="11"/>
  <c r="AD290" i="11"/>
  <c r="AD291" i="11"/>
  <c r="AD292" i="11"/>
  <c r="AD293" i="11"/>
  <c r="AD271" i="11"/>
  <c r="AD272" i="11"/>
  <c r="AD273" i="11"/>
  <c r="AD274" i="11"/>
  <c r="AD275" i="11"/>
  <c r="AD276" i="11"/>
  <c r="AD277" i="11"/>
  <c r="AD278" i="11"/>
  <c r="AD279" i="11"/>
  <c r="AD280" i="11"/>
  <c r="AD281" i="11"/>
  <c r="AD259" i="11"/>
  <c r="AD260" i="11"/>
  <c r="AD261" i="11"/>
  <c r="AD262" i="11"/>
  <c r="AD263" i="11"/>
  <c r="AD264" i="11"/>
  <c r="AD265" i="11"/>
  <c r="AD266" i="11"/>
  <c r="AD267" i="11"/>
  <c r="AD268" i="11"/>
  <c r="AD269" i="11"/>
  <c r="AD247" i="11"/>
  <c r="AD248" i="11"/>
  <c r="AD249" i="11"/>
  <c r="AD250" i="11"/>
  <c r="AD251" i="11"/>
  <c r="AD252" i="11"/>
  <c r="AD253" i="11"/>
  <c r="AD254" i="11"/>
  <c r="AD255" i="11"/>
  <c r="AD256" i="11"/>
  <c r="AD257" i="11"/>
  <c r="AD235" i="11"/>
  <c r="AD236" i="11"/>
  <c r="AD237" i="11"/>
  <c r="AD238" i="11"/>
  <c r="AD239" i="11"/>
  <c r="AD240" i="11"/>
  <c r="AD241" i="11"/>
  <c r="AD242" i="11"/>
  <c r="AD243" i="11"/>
  <c r="AD244" i="11"/>
  <c r="AD245" i="11"/>
  <c r="AD223" i="11"/>
  <c r="AD224" i="11"/>
  <c r="AD225" i="11"/>
  <c r="AD226" i="11"/>
  <c r="AD227" i="11"/>
  <c r="AD228" i="11"/>
  <c r="AD229" i="11"/>
  <c r="AD230" i="11"/>
  <c r="AD231" i="11"/>
  <c r="AD232" i="11"/>
  <c r="AD233" i="11"/>
  <c r="AD211" i="11"/>
  <c r="AD212" i="11"/>
  <c r="AD213" i="11"/>
  <c r="AD214" i="11"/>
  <c r="AD215" i="11"/>
  <c r="AD216" i="11"/>
  <c r="AD217" i="11"/>
  <c r="AD218" i="11"/>
  <c r="AD219" i="11"/>
  <c r="AD220" i="11"/>
  <c r="AD221" i="11"/>
  <c r="AD199" i="11"/>
  <c r="AD200" i="11"/>
  <c r="AD201" i="11"/>
  <c r="AD202" i="11"/>
  <c r="AD203" i="11"/>
  <c r="AD204" i="11"/>
  <c r="AD205" i="11"/>
  <c r="AD206" i="11"/>
  <c r="AD207" i="11"/>
  <c r="AD208" i="11"/>
  <c r="AD209" i="11"/>
  <c r="AD187" i="11"/>
  <c r="AD188" i="11"/>
  <c r="AD189" i="11"/>
  <c r="AD190" i="11"/>
  <c r="AD191" i="11"/>
  <c r="AD192" i="11"/>
  <c r="AD193" i="11"/>
  <c r="AD194" i="11"/>
  <c r="AD195" i="11"/>
  <c r="AD196" i="11"/>
  <c r="AD197" i="11"/>
  <c r="AD175" i="11"/>
  <c r="AD176" i="11"/>
  <c r="AD177" i="11"/>
  <c r="AD178" i="11"/>
  <c r="AD179" i="11"/>
  <c r="AD180" i="11"/>
  <c r="AD181" i="11"/>
  <c r="AD182" i="11"/>
  <c r="AD183" i="11"/>
  <c r="AD184" i="11"/>
  <c r="AD185" i="11"/>
  <c r="AD163" i="11"/>
  <c r="AD164" i="11"/>
  <c r="AD165" i="11"/>
  <c r="AD166" i="11"/>
  <c r="AD167" i="11"/>
  <c r="AD168" i="11"/>
  <c r="AD169" i="11"/>
  <c r="AD170" i="11"/>
  <c r="AD171" i="11"/>
  <c r="AD172" i="11"/>
  <c r="AD173" i="11"/>
  <c r="AD151" i="11"/>
  <c r="AD152" i="11"/>
  <c r="AD153" i="11"/>
  <c r="AD154" i="11"/>
  <c r="AD155" i="11"/>
  <c r="AD156" i="11"/>
  <c r="AD157" i="11"/>
  <c r="AD158" i="11"/>
  <c r="AD159" i="11"/>
  <c r="AD160" i="11"/>
  <c r="AD161" i="11"/>
  <c r="AD139" i="11"/>
  <c r="AD140" i="11"/>
  <c r="AD141" i="11"/>
  <c r="AD142" i="11"/>
  <c r="AD143" i="11"/>
  <c r="AD144" i="11"/>
  <c r="AD145" i="11"/>
  <c r="AD146" i="11"/>
  <c r="AD147" i="11"/>
  <c r="AD148" i="11"/>
  <c r="AD149" i="11"/>
  <c r="AD127" i="11"/>
  <c r="AD128" i="11"/>
  <c r="AD129" i="11"/>
  <c r="AD130" i="11"/>
  <c r="AD131" i="11"/>
  <c r="AD132" i="11"/>
  <c r="AD133" i="11"/>
  <c r="AD134" i="11"/>
  <c r="AD135" i="11"/>
  <c r="AD136" i="11"/>
  <c r="AD137" i="11"/>
  <c r="AD115" i="11"/>
  <c r="AD116" i="11"/>
  <c r="AD117" i="11"/>
  <c r="AD118" i="11"/>
  <c r="AD119" i="11"/>
  <c r="AD120" i="11"/>
  <c r="AD121" i="11"/>
  <c r="AD122" i="11"/>
  <c r="AD123" i="11"/>
  <c r="AD124" i="11"/>
  <c r="AD125" i="11"/>
  <c r="AD103" i="11"/>
  <c r="AD104" i="11"/>
  <c r="AD105" i="11"/>
  <c r="AD106" i="11"/>
  <c r="AD107" i="11"/>
  <c r="AD108" i="11"/>
  <c r="AD109" i="11"/>
  <c r="AD110" i="11"/>
  <c r="AD111" i="11"/>
  <c r="AD112" i="11"/>
  <c r="AD113" i="11"/>
  <c r="AD91" i="11"/>
  <c r="AD92" i="11"/>
  <c r="AD93" i="11"/>
  <c r="AD94" i="11"/>
  <c r="AD95" i="11"/>
  <c r="AD96" i="11"/>
  <c r="AD97" i="11"/>
  <c r="AD98" i="11"/>
  <c r="AD99" i="11"/>
  <c r="AD100" i="11"/>
  <c r="AD101" i="11"/>
  <c r="AD79" i="11"/>
  <c r="AD80" i="11"/>
  <c r="AD81" i="11"/>
  <c r="AD82" i="11"/>
  <c r="AD83" i="11"/>
  <c r="AD84" i="11"/>
  <c r="AD85" i="11"/>
  <c r="AD86" i="11"/>
  <c r="AD87" i="11"/>
  <c r="AD88" i="11"/>
  <c r="AD89" i="11"/>
  <c r="AD67" i="11"/>
  <c r="AD68" i="11"/>
  <c r="AD69" i="11"/>
  <c r="AD70" i="11"/>
  <c r="AD71" i="11"/>
  <c r="AD72" i="11"/>
  <c r="AD73" i="11"/>
  <c r="AD74" i="11"/>
  <c r="AD75" i="11"/>
  <c r="AD76" i="11"/>
  <c r="AD77" i="11"/>
  <c r="AD55" i="11"/>
  <c r="AD56" i="11"/>
  <c r="AD57" i="11"/>
  <c r="AD58" i="11"/>
  <c r="AD59" i="11"/>
  <c r="AD60" i="11"/>
  <c r="AD61" i="11"/>
  <c r="AD62" i="11"/>
  <c r="AD63" i="11"/>
  <c r="AD64" i="11"/>
  <c r="AD65" i="11"/>
  <c r="AD43" i="11"/>
  <c r="AD44" i="11"/>
  <c r="AD45" i="11"/>
  <c r="AD46" i="11"/>
  <c r="AD47" i="11"/>
  <c r="AD48" i="11"/>
  <c r="AD49" i="11"/>
  <c r="AD50" i="11"/>
  <c r="AD51" i="11"/>
  <c r="AD52" i="11"/>
  <c r="AD53" i="11"/>
  <c r="AD31" i="11"/>
  <c r="AD32" i="11"/>
  <c r="AD33" i="11"/>
  <c r="AD34" i="11"/>
  <c r="AD35" i="11"/>
  <c r="AD36" i="11"/>
  <c r="AD37" i="11"/>
  <c r="AD38" i="11"/>
  <c r="AD39" i="11"/>
  <c r="AD40" i="11"/>
  <c r="AD41" i="11"/>
  <c r="AD19" i="11"/>
  <c r="AD20" i="11"/>
  <c r="AD21" i="11"/>
  <c r="AD22" i="11"/>
  <c r="AD23" i="11"/>
  <c r="AD24" i="11"/>
  <c r="AD25" i="11"/>
  <c r="AD26" i="11"/>
  <c r="AD27" i="11"/>
  <c r="AD28" i="11"/>
  <c r="AD29" i="11"/>
  <c r="AC19" i="11"/>
  <c r="AH18" i="11"/>
  <c r="AF18" i="11"/>
  <c r="AF19" i="11"/>
  <c r="AF20" i="11"/>
  <c r="AF21" i="11"/>
  <c r="AF22" i="11"/>
  <c r="AF23" i="11"/>
  <c r="AF24" i="11"/>
  <c r="AF25" i="11"/>
  <c r="AF26" i="11"/>
  <c r="AF27" i="11"/>
  <c r="AF28" i="11"/>
  <c r="AF29" i="11"/>
  <c r="AF30" i="11"/>
  <c r="AF31" i="11"/>
  <c r="AF32" i="11"/>
  <c r="AF33" i="11"/>
  <c r="AF34" i="11"/>
  <c r="AF35" i="11"/>
  <c r="AF36" i="11"/>
  <c r="AF37" i="11"/>
  <c r="AF38" i="11"/>
  <c r="AF39"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AF63" i="11"/>
  <c r="AF64" i="11"/>
  <c r="AF65" i="11"/>
  <c r="AF66" i="11"/>
  <c r="AF67" i="11"/>
  <c r="AF68" i="11"/>
  <c r="AF69" i="11"/>
  <c r="AF70" i="11"/>
  <c r="AF71" i="11"/>
  <c r="AF72" i="11"/>
  <c r="AF73" i="11"/>
  <c r="AF74" i="11"/>
  <c r="AF75" i="11"/>
  <c r="AF76" i="11"/>
  <c r="AF77" i="11"/>
  <c r="AF78" i="11"/>
  <c r="AF79" i="11"/>
  <c r="AF80" i="11"/>
  <c r="AF81" i="11"/>
  <c r="AF82" i="11"/>
  <c r="AF83" i="11"/>
  <c r="AF84" i="11"/>
  <c r="AF85" i="11"/>
  <c r="AF86" i="11"/>
  <c r="AF87" i="11"/>
  <c r="AF88" i="11"/>
  <c r="AF89" i="11"/>
  <c r="AF90" i="11"/>
  <c r="AF91" i="11"/>
  <c r="AF92" i="11"/>
  <c r="AF93" i="11"/>
  <c r="AF94" i="11"/>
  <c r="AF95" i="11"/>
  <c r="AF96" i="11"/>
  <c r="AF97" i="11"/>
  <c r="AF98" i="11"/>
  <c r="AF99" i="11"/>
  <c r="AF100" i="11"/>
  <c r="AF101" i="11"/>
  <c r="AF102" i="11"/>
  <c r="AF103" i="11"/>
  <c r="AF104" i="11"/>
  <c r="AF105" i="11"/>
  <c r="AF106" i="11"/>
  <c r="AF107" i="11"/>
  <c r="AF108" i="11"/>
  <c r="AF109" i="11"/>
  <c r="AF110" i="11"/>
  <c r="AF111" i="11"/>
  <c r="AF112" i="11"/>
  <c r="AF113" i="11"/>
  <c r="AF114" i="11"/>
  <c r="AF115" i="11"/>
  <c r="AF116" i="11"/>
  <c r="AF117" i="11"/>
  <c r="AF118" i="11"/>
  <c r="AF119" i="11"/>
  <c r="AF120" i="11"/>
  <c r="AF121" i="11"/>
  <c r="AF122" i="11"/>
  <c r="AF123" i="11"/>
  <c r="AF124" i="11"/>
  <c r="AF125" i="11"/>
  <c r="AF126" i="11"/>
  <c r="AF127" i="11"/>
  <c r="AF128" i="11"/>
  <c r="AF129" i="11"/>
  <c r="AF130" i="11"/>
  <c r="AF131" i="11"/>
  <c r="AF132" i="11"/>
  <c r="AF133" i="11"/>
  <c r="AF134" i="11"/>
  <c r="AF135" i="11"/>
  <c r="AF136" i="11"/>
  <c r="AF137" i="11"/>
  <c r="AF138" i="11"/>
  <c r="AF139" i="11"/>
  <c r="AF140" i="11"/>
  <c r="AF141" i="11"/>
  <c r="AF142" i="11"/>
  <c r="AF143" i="11"/>
  <c r="AF144" i="11"/>
  <c r="AF145" i="11"/>
  <c r="AF146" i="11"/>
  <c r="AF147" i="11"/>
  <c r="AF148" i="11"/>
  <c r="AF149" i="11"/>
  <c r="AF150" i="11"/>
  <c r="AF151" i="11"/>
  <c r="AF152" i="11"/>
  <c r="AF153" i="11"/>
  <c r="AF154" i="11"/>
  <c r="AF155" i="11"/>
  <c r="AF156" i="11"/>
  <c r="AF157" i="11"/>
  <c r="AF158" i="11"/>
  <c r="AF159" i="11"/>
  <c r="AF160" i="11"/>
  <c r="AF161" i="11"/>
  <c r="AF162" i="11"/>
  <c r="AF163" i="11"/>
  <c r="AF164" i="11"/>
  <c r="AF165" i="11"/>
  <c r="AF166" i="11"/>
  <c r="AF167" i="11"/>
  <c r="AF168" i="11"/>
  <c r="AF169" i="11"/>
  <c r="AF170" i="11"/>
  <c r="AF171" i="11"/>
  <c r="AF172" i="11"/>
  <c r="AF173" i="11"/>
  <c r="AF174" i="11"/>
  <c r="AF175" i="11"/>
  <c r="AF176" i="11"/>
  <c r="AF177" i="11"/>
  <c r="AF178" i="11"/>
  <c r="AF179" i="11"/>
  <c r="AF180" i="11"/>
  <c r="AF181" i="11"/>
  <c r="AF182" i="11"/>
  <c r="AF183" i="11"/>
  <c r="AF184" i="11"/>
  <c r="AF185" i="11"/>
  <c r="AF186" i="11"/>
  <c r="AF187" i="11"/>
  <c r="AF188" i="11"/>
  <c r="AF189" i="11"/>
  <c r="AF190" i="11"/>
  <c r="AF191" i="11"/>
  <c r="AF192" i="11"/>
  <c r="AF193" i="11"/>
  <c r="AF194" i="11"/>
  <c r="AF195" i="11"/>
  <c r="AF196" i="11"/>
  <c r="AF197" i="11"/>
  <c r="AF198" i="11"/>
  <c r="AF199" i="11"/>
  <c r="AF200" i="11"/>
  <c r="AF201" i="11"/>
  <c r="AF202" i="11"/>
  <c r="AF203" i="11"/>
  <c r="AF204" i="11"/>
  <c r="AF205" i="11"/>
  <c r="AF206" i="11"/>
  <c r="AF207" i="11"/>
  <c r="AF208" i="11"/>
  <c r="AF209" i="11"/>
  <c r="AF210" i="11"/>
  <c r="AF211" i="11"/>
  <c r="AF212" i="11"/>
  <c r="AF213" i="11"/>
  <c r="AF214" i="11"/>
  <c r="AF215" i="11"/>
  <c r="AF216" i="11"/>
  <c r="AF217" i="11"/>
  <c r="AF218" i="11"/>
  <c r="AF219" i="11"/>
  <c r="AF220" i="11"/>
  <c r="AF221" i="11"/>
  <c r="AF222" i="11"/>
  <c r="AF223" i="11"/>
  <c r="AF224" i="11"/>
  <c r="AF225" i="11"/>
  <c r="AF226" i="11"/>
  <c r="AF227" i="11"/>
  <c r="AF228" i="11"/>
  <c r="AF229" i="11"/>
  <c r="AF230" i="11"/>
  <c r="AF231" i="11"/>
  <c r="AF232" i="11"/>
  <c r="AF233" i="11"/>
  <c r="AF234" i="11"/>
  <c r="AF235" i="11"/>
  <c r="AF236" i="11"/>
  <c r="AF237" i="11"/>
  <c r="AF238" i="11"/>
  <c r="AF239" i="11"/>
  <c r="AF240" i="11"/>
  <c r="AF241" i="11"/>
  <c r="AF242" i="11"/>
  <c r="AF243" i="11"/>
  <c r="AF244" i="11"/>
  <c r="AF245" i="11"/>
  <c r="AF246" i="11"/>
  <c r="AF247" i="11"/>
  <c r="AF248" i="11"/>
  <c r="AF249" i="11"/>
  <c r="AF250" i="11"/>
  <c r="AF251" i="11"/>
  <c r="AF252" i="11"/>
  <c r="AF253" i="11"/>
  <c r="AF254" i="11"/>
  <c r="AF255" i="11"/>
  <c r="AF256" i="11"/>
  <c r="AF257" i="11"/>
  <c r="AF258" i="11"/>
  <c r="AF259" i="11"/>
  <c r="AF260" i="11"/>
  <c r="AF261" i="11"/>
  <c r="AF262" i="11"/>
  <c r="AF263" i="11"/>
  <c r="AF264" i="11"/>
  <c r="AF265" i="11"/>
  <c r="AF266" i="11"/>
  <c r="AF267" i="11"/>
  <c r="AF268" i="11"/>
  <c r="AF269" i="11"/>
  <c r="AF270" i="11"/>
  <c r="AF271" i="11"/>
  <c r="AF272" i="11"/>
  <c r="AF273" i="11"/>
  <c r="AF274" i="11"/>
  <c r="AF275" i="11"/>
  <c r="AF276" i="11"/>
  <c r="AF277" i="11"/>
  <c r="AF278" i="11"/>
  <c r="AF279" i="11"/>
  <c r="AF280" i="11"/>
  <c r="AF281" i="11"/>
  <c r="AF282" i="11"/>
  <c r="AF283" i="11"/>
  <c r="AF284" i="11"/>
  <c r="AF285" i="11"/>
  <c r="AF286" i="11"/>
  <c r="AF287" i="11"/>
  <c r="AF288" i="11"/>
  <c r="AF289" i="11"/>
  <c r="AF290" i="11"/>
  <c r="AF291" i="11"/>
  <c r="AF292" i="11"/>
  <c r="AF293" i="11"/>
  <c r="AF294" i="11"/>
  <c r="AF295" i="11"/>
  <c r="AF296" i="11"/>
  <c r="AF297" i="11"/>
  <c r="AF298" i="11"/>
  <c r="AF299" i="11"/>
  <c r="AF300" i="11"/>
  <c r="AF301" i="11"/>
  <c r="AF302" i="11"/>
  <c r="AF303" i="11"/>
  <c r="AF304" i="11"/>
  <c r="AF305" i="11"/>
  <c r="AF306" i="11"/>
  <c r="AF307" i="11"/>
  <c r="AF308" i="11"/>
  <c r="AF309" i="11"/>
  <c r="AF310" i="11"/>
  <c r="AF311" i="11"/>
  <c r="AF312" i="11"/>
  <c r="AF313" i="11"/>
  <c r="AF314" i="11"/>
  <c r="AF315" i="11"/>
  <c r="AF316" i="11"/>
  <c r="AF317" i="11"/>
  <c r="AF318" i="11"/>
  <c r="AF319" i="11"/>
  <c r="AF320" i="11"/>
  <c r="AF321" i="11"/>
  <c r="AF322" i="11"/>
  <c r="AF323" i="11"/>
  <c r="AF324" i="11"/>
  <c r="AF325" i="11"/>
  <c r="AF326" i="11"/>
  <c r="AF327" i="11"/>
  <c r="AF328" i="11"/>
  <c r="AF329" i="11"/>
  <c r="AF330" i="11"/>
  <c r="AF331" i="11"/>
  <c r="AF332" i="11"/>
  <c r="AF333" i="11"/>
  <c r="AF334" i="11"/>
  <c r="AF335" i="11"/>
  <c r="AF336" i="11"/>
  <c r="AF337" i="11"/>
  <c r="AF338" i="11"/>
  <c r="AF339" i="11"/>
  <c r="AF340" i="11"/>
  <c r="AF341" i="11"/>
  <c r="AF342" i="11"/>
  <c r="AF343" i="11"/>
  <c r="AF344" i="11"/>
  <c r="AF345" i="11"/>
  <c r="AF346" i="11"/>
  <c r="AF347" i="11"/>
  <c r="AF348" i="11"/>
  <c r="AF349" i="11"/>
  <c r="AF350" i="11"/>
  <c r="AF351" i="11"/>
  <c r="AF352" i="11"/>
  <c r="AF353" i="11"/>
  <c r="AF354" i="11"/>
  <c r="AF355" i="11"/>
  <c r="AF356" i="11"/>
  <c r="AF357" i="11"/>
  <c r="AF358" i="11"/>
  <c r="AF359" i="11"/>
  <c r="AF360" i="11"/>
  <c r="AF361" i="11"/>
  <c r="AF362" i="11"/>
  <c r="AF363" i="11"/>
  <c r="AF364" i="11"/>
  <c r="AF365" i="11"/>
  <c r="AF366" i="11"/>
  <c r="AF367" i="11"/>
  <c r="AF368" i="11"/>
  <c r="AF369" i="11"/>
  <c r="AF370" i="11"/>
  <c r="AF371" i="11"/>
  <c r="AF372" i="11"/>
  <c r="AF373" i="11"/>
  <c r="AF374" i="11"/>
  <c r="AF375" i="11"/>
  <c r="AF376" i="11"/>
  <c r="AF377" i="11"/>
  <c r="AF378" i="11"/>
  <c r="AF379" i="11"/>
  <c r="AF380" i="11"/>
  <c r="AF381" i="11"/>
  <c r="AF382" i="11"/>
  <c r="AF383" i="11"/>
  <c r="AF384" i="11"/>
  <c r="AF385" i="11"/>
  <c r="AF386" i="11"/>
  <c r="AF387" i="11"/>
  <c r="AF388" i="11"/>
  <c r="AF389" i="11"/>
  <c r="AF390" i="11"/>
  <c r="AF391" i="11"/>
  <c r="AF392" i="11"/>
  <c r="AF393" i="11"/>
  <c r="AF394" i="11"/>
  <c r="AF395" i="11"/>
  <c r="AF396" i="11"/>
  <c r="AF397" i="11"/>
  <c r="AF398" i="11"/>
  <c r="AF399" i="11"/>
  <c r="AF400" i="11"/>
  <c r="AF401" i="11"/>
  <c r="AF402" i="11"/>
  <c r="AF403" i="11"/>
  <c r="AF404" i="11"/>
  <c r="AF405" i="11"/>
  <c r="AF406" i="11"/>
  <c r="AF407" i="11"/>
  <c r="AF408" i="11"/>
  <c r="AF409" i="11"/>
  <c r="AF410" i="11"/>
  <c r="AF411" i="11"/>
  <c r="AF412" i="11"/>
  <c r="AF413" i="11"/>
  <c r="AF414" i="11"/>
  <c r="AF415" i="11"/>
  <c r="AF416" i="11"/>
  <c r="AF417" i="11"/>
  <c r="AF418" i="11"/>
  <c r="AF419" i="11"/>
  <c r="AF420" i="11"/>
  <c r="AF421" i="11"/>
  <c r="AF422" i="11"/>
  <c r="AF423" i="11"/>
  <c r="AF424" i="11"/>
  <c r="AF425" i="11"/>
  <c r="AF426" i="11"/>
  <c r="AF427" i="11"/>
  <c r="AF428" i="11"/>
  <c r="AF429" i="11"/>
  <c r="AF430" i="11"/>
  <c r="AF431" i="11"/>
  <c r="AF432" i="11"/>
  <c r="AF433" i="11"/>
  <c r="AF434" i="11"/>
  <c r="AF435" i="11"/>
  <c r="AF436" i="11"/>
  <c r="AF437" i="11"/>
  <c r="AF438" i="11"/>
  <c r="AF439" i="11"/>
  <c r="AF440" i="11"/>
  <c r="AF441" i="11"/>
  <c r="AF442" i="11"/>
  <c r="AF443" i="11"/>
  <c r="AF444" i="11"/>
  <c r="AF445" i="11"/>
  <c r="AF446" i="11"/>
  <c r="AF447" i="11"/>
  <c r="AF448" i="11"/>
  <c r="AF449" i="11"/>
  <c r="AF450" i="11"/>
  <c r="AF451" i="11"/>
  <c r="AF452" i="11"/>
  <c r="AF453" i="11"/>
  <c r="AF454" i="11"/>
  <c r="AF455" i="11"/>
  <c r="AF456" i="11"/>
  <c r="AF457" i="11"/>
  <c r="AF458" i="11"/>
  <c r="AF459" i="11"/>
  <c r="AF460" i="11"/>
  <c r="AF461" i="11"/>
  <c r="AF462" i="11"/>
  <c r="AF463" i="11"/>
  <c r="AF464" i="11"/>
  <c r="AF465" i="11"/>
  <c r="AF466" i="11"/>
  <c r="AF467" i="11"/>
  <c r="AF468" i="11"/>
  <c r="AF469" i="11"/>
  <c r="AF470" i="11"/>
  <c r="AF471" i="11"/>
  <c r="AF472" i="11"/>
  <c r="AF473" i="11"/>
  <c r="AF474" i="11"/>
  <c r="AF475" i="11"/>
  <c r="AF476" i="11"/>
  <c r="AF477" i="11"/>
  <c r="AF478" i="11"/>
  <c r="AF479" i="11"/>
  <c r="AF480" i="11"/>
  <c r="AF481" i="11"/>
  <c r="AF482" i="11"/>
  <c r="AF483" i="11"/>
  <c r="AF484" i="11"/>
  <c r="AF485" i="11"/>
  <c r="AF486" i="11"/>
  <c r="AF487" i="11"/>
  <c r="AF488" i="11"/>
  <c r="AF489" i="11"/>
  <c r="AF490" i="11"/>
  <c r="AF491" i="11"/>
  <c r="AF492" i="11"/>
  <c r="AF493" i="11"/>
  <c r="AF494" i="11"/>
  <c r="AF495" i="11"/>
  <c r="AF496" i="11"/>
  <c r="AF497" i="11"/>
  <c r="R18" i="11"/>
  <c r="Q487" i="11"/>
  <c r="Q488" i="11"/>
  <c r="Q489" i="11"/>
  <c r="Q490" i="11"/>
  <c r="Q491" i="11"/>
  <c r="Q492" i="11"/>
  <c r="Q493" i="11"/>
  <c r="Q494" i="11"/>
  <c r="Q495" i="11"/>
  <c r="Q496" i="11"/>
  <c r="Q497" i="11"/>
  <c r="Q475" i="11"/>
  <c r="Q476" i="11"/>
  <c r="Q477" i="11"/>
  <c r="Q478" i="11"/>
  <c r="Q479" i="11"/>
  <c r="Q480" i="11"/>
  <c r="Q481" i="11"/>
  <c r="Q482" i="11"/>
  <c r="Q483" i="11"/>
  <c r="Q484" i="11"/>
  <c r="Q485" i="11"/>
  <c r="Q463" i="11"/>
  <c r="Q464" i="11"/>
  <c r="Q465" i="11"/>
  <c r="Q466" i="11"/>
  <c r="Q467" i="11"/>
  <c r="Q468" i="11"/>
  <c r="Q469" i="11"/>
  <c r="Q470" i="11"/>
  <c r="Q471" i="11"/>
  <c r="Q472" i="11"/>
  <c r="Q473" i="11"/>
  <c r="Q451" i="11"/>
  <c r="Q452" i="11"/>
  <c r="Q453" i="11"/>
  <c r="Q454" i="11"/>
  <c r="Q455" i="11"/>
  <c r="Q456" i="11"/>
  <c r="Q457" i="11"/>
  <c r="Q458" i="11"/>
  <c r="Q459" i="11"/>
  <c r="Q460" i="11"/>
  <c r="Q461" i="11"/>
  <c r="Q439" i="11"/>
  <c r="Q440" i="11"/>
  <c r="Q441" i="11"/>
  <c r="Q442" i="11"/>
  <c r="Q443" i="11"/>
  <c r="Q444" i="11"/>
  <c r="Q445" i="11"/>
  <c r="Q446" i="11"/>
  <c r="Q447" i="11"/>
  <c r="Q448" i="11"/>
  <c r="Q449" i="11"/>
  <c r="Q427" i="11"/>
  <c r="Q428" i="11"/>
  <c r="Q429" i="11"/>
  <c r="Q430" i="11"/>
  <c r="Q431" i="11"/>
  <c r="Q432" i="11"/>
  <c r="Q433" i="11"/>
  <c r="Q434" i="11"/>
  <c r="Q435" i="11"/>
  <c r="Q436" i="11"/>
  <c r="Q437" i="11"/>
  <c r="Q415" i="11"/>
  <c r="Q416" i="11"/>
  <c r="Q417" i="11"/>
  <c r="Q418" i="11"/>
  <c r="Q419" i="11"/>
  <c r="Q420" i="11"/>
  <c r="Q421" i="11"/>
  <c r="Q422" i="11"/>
  <c r="Q423" i="11"/>
  <c r="Q424" i="11"/>
  <c r="Q425" i="11"/>
  <c r="Q403" i="11"/>
  <c r="Q404" i="11"/>
  <c r="Q405" i="11"/>
  <c r="Q406" i="11"/>
  <c r="Q407" i="11"/>
  <c r="Q408" i="11"/>
  <c r="Q409" i="11"/>
  <c r="Q410" i="11"/>
  <c r="Q411" i="11"/>
  <c r="Q412" i="11"/>
  <c r="Q413" i="11"/>
  <c r="Q391" i="11"/>
  <c r="Q392" i="11"/>
  <c r="Q393" i="11"/>
  <c r="Q394" i="11"/>
  <c r="Q395" i="11"/>
  <c r="Q396" i="11"/>
  <c r="Q397" i="11"/>
  <c r="Q398" i="11"/>
  <c r="Q399" i="11"/>
  <c r="Q400" i="11"/>
  <c r="Q401" i="11"/>
  <c r="Q379" i="11"/>
  <c r="Q380" i="11"/>
  <c r="Q381" i="11"/>
  <c r="Q382" i="11"/>
  <c r="Q383" i="11"/>
  <c r="Q384" i="11"/>
  <c r="Q385" i="11"/>
  <c r="Q386" i="11"/>
  <c r="Q387" i="11"/>
  <c r="Q388" i="11"/>
  <c r="Q389" i="11"/>
  <c r="Q367" i="11"/>
  <c r="Q368" i="11"/>
  <c r="Q369" i="11"/>
  <c r="Q370" i="11"/>
  <c r="Q371" i="11"/>
  <c r="Q372" i="11"/>
  <c r="Q373" i="11"/>
  <c r="Q374" i="11"/>
  <c r="Q375" i="11"/>
  <c r="Q376" i="11"/>
  <c r="Q377" i="11"/>
  <c r="Q355" i="11"/>
  <c r="Q356" i="11"/>
  <c r="Q357" i="11"/>
  <c r="Q358" i="11"/>
  <c r="Q359" i="11"/>
  <c r="Q360" i="11"/>
  <c r="Q361" i="11"/>
  <c r="Q362" i="11"/>
  <c r="Q363" i="11"/>
  <c r="Q364" i="11"/>
  <c r="Q365" i="11"/>
  <c r="Q343" i="11"/>
  <c r="Q344" i="11"/>
  <c r="Q345" i="11"/>
  <c r="Q346" i="11"/>
  <c r="Q347" i="11"/>
  <c r="Q348" i="11"/>
  <c r="Q349" i="11"/>
  <c r="Q350" i="11"/>
  <c r="Q351" i="11"/>
  <c r="Q352" i="11"/>
  <c r="Q353" i="11"/>
  <c r="Q331" i="11"/>
  <c r="Q332" i="11"/>
  <c r="Q333" i="11"/>
  <c r="Q334" i="11"/>
  <c r="Q335" i="11"/>
  <c r="Q336" i="11"/>
  <c r="Q337" i="11"/>
  <c r="Q338" i="11"/>
  <c r="Q339" i="11"/>
  <c r="Q340" i="11"/>
  <c r="Q341" i="11"/>
  <c r="Q319" i="11"/>
  <c r="Q320" i="11"/>
  <c r="Q321" i="11"/>
  <c r="Q322" i="11"/>
  <c r="Q323" i="11"/>
  <c r="Q324" i="11"/>
  <c r="Q325" i="11"/>
  <c r="Q326" i="11"/>
  <c r="Q327" i="11"/>
  <c r="Q328" i="11"/>
  <c r="Q329" i="11"/>
  <c r="Q307" i="11"/>
  <c r="Q308" i="11"/>
  <c r="Q309" i="11"/>
  <c r="Q310" i="11"/>
  <c r="Q311" i="11"/>
  <c r="Q312" i="11"/>
  <c r="Q313" i="11"/>
  <c r="Q314" i="11"/>
  <c r="Q315" i="11"/>
  <c r="Q316" i="11"/>
  <c r="Q317" i="11"/>
  <c r="Q295" i="11"/>
  <c r="Q296" i="11"/>
  <c r="Q297" i="11"/>
  <c r="Q298" i="11"/>
  <c r="Q299" i="11"/>
  <c r="Q300" i="11"/>
  <c r="Q301" i="11"/>
  <c r="Q302" i="11"/>
  <c r="Q303" i="11"/>
  <c r="Q304" i="11"/>
  <c r="Q305" i="11"/>
  <c r="Q283" i="11"/>
  <c r="Q284" i="11"/>
  <c r="Q285" i="11"/>
  <c r="Q286" i="11"/>
  <c r="Q287" i="11"/>
  <c r="Q288" i="11"/>
  <c r="Q289" i="11"/>
  <c r="Q290" i="11"/>
  <c r="Q291" i="11"/>
  <c r="Q292" i="11"/>
  <c r="Q293" i="11"/>
  <c r="Q271" i="11"/>
  <c r="Q272" i="11"/>
  <c r="Q273" i="11"/>
  <c r="Q274" i="11"/>
  <c r="Q275" i="11"/>
  <c r="Q276" i="11"/>
  <c r="Q277" i="11"/>
  <c r="Q278" i="11"/>
  <c r="Q279" i="11"/>
  <c r="Q280" i="11"/>
  <c r="Q281" i="11"/>
  <c r="Q259" i="11"/>
  <c r="Q260" i="11"/>
  <c r="Q261" i="11"/>
  <c r="Q262" i="11"/>
  <c r="Q263" i="11"/>
  <c r="Q264" i="11"/>
  <c r="Q265" i="11"/>
  <c r="Q266" i="11"/>
  <c r="Q267" i="11"/>
  <c r="Q268" i="11"/>
  <c r="Q269" i="11"/>
  <c r="Q247" i="11"/>
  <c r="Q248" i="11"/>
  <c r="Q249" i="11"/>
  <c r="Q250" i="11"/>
  <c r="Q251" i="11"/>
  <c r="Q252" i="11"/>
  <c r="Q253" i="11"/>
  <c r="Q254" i="11"/>
  <c r="Q255" i="11"/>
  <c r="Q256" i="11"/>
  <c r="Q257" i="11"/>
  <c r="Q235" i="11"/>
  <c r="Q236" i="11"/>
  <c r="Q237" i="11"/>
  <c r="Q238" i="11"/>
  <c r="Q239" i="11"/>
  <c r="Q240" i="11"/>
  <c r="Q241" i="11"/>
  <c r="Q242" i="11"/>
  <c r="Q243" i="11"/>
  <c r="Q244" i="11"/>
  <c r="Q245" i="11"/>
  <c r="Q223" i="11"/>
  <c r="Q224" i="11"/>
  <c r="Q225" i="11"/>
  <c r="Q226" i="11"/>
  <c r="Q227" i="11"/>
  <c r="Q228" i="11"/>
  <c r="Q229" i="11"/>
  <c r="Q230" i="11"/>
  <c r="Q231" i="11"/>
  <c r="Q232" i="11"/>
  <c r="Q233" i="11"/>
  <c r="Q211" i="11"/>
  <c r="Q212" i="11"/>
  <c r="Q213" i="11"/>
  <c r="Q214" i="11"/>
  <c r="Q215" i="11"/>
  <c r="Q216" i="11"/>
  <c r="Q217" i="11"/>
  <c r="Q218" i="11"/>
  <c r="Q219" i="11"/>
  <c r="Q220" i="11"/>
  <c r="Q221" i="11"/>
  <c r="Q199" i="11"/>
  <c r="Q200" i="11"/>
  <c r="Q201" i="11"/>
  <c r="Q202" i="11"/>
  <c r="Q203" i="11"/>
  <c r="Q204" i="11"/>
  <c r="Q205" i="11"/>
  <c r="Q206" i="11"/>
  <c r="Q207" i="11"/>
  <c r="Q208" i="11"/>
  <c r="Q209" i="11"/>
  <c r="Q187" i="11"/>
  <c r="Q188" i="11"/>
  <c r="Q189" i="11"/>
  <c r="Q190" i="11"/>
  <c r="Q191" i="11"/>
  <c r="Q192" i="11"/>
  <c r="Q193" i="11"/>
  <c r="Q194" i="11"/>
  <c r="Q195" i="11"/>
  <c r="Q196" i="11"/>
  <c r="Q197" i="11"/>
  <c r="Q175" i="11"/>
  <c r="Q176" i="11"/>
  <c r="Q177" i="11"/>
  <c r="Q178" i="11"/>
  <c r="Q179" i="11"/>
  <c r="Q180" i="11"/>
  <c r="Q181" i="11"/>
  <c r="Q182" i="11"/>
  <c r="Q183" i="11"/>
  <c r="Q184" i="11"/>
  <c r="Q185" i="11"/>
  <c r="Q163" i="11"/>
  <c r="Q164" i="11"/>
  <c r="Q165" i="11"/>
  <c r="Q166" i="11"/>
  <c r="Q167" i="11"/>
  <c r="Q168" i="11"/>
  <c r="Q169" i="11"/>
  <c r="Q170" i="11"/>
  <c r="Q171" i="11"/>
  <c r="Q172" i="11"/>
  <c r="Q173" i="11"/>
  <c r="Q151" i="11"/>
  <c r="Q152" i="11"/>
  <c r="Q153" i="11"/>
  <c r="Q154" i="11"/>
  <c r="Q155" i="11"/>
  <c r="Q156" i="11"/>
  <c r="Q157" i="11"/>
  <c r="Q158" i="11"/>
  <c r="Q159" i="11"/>
  <c r="Q160" i="11"/>
  <c r="Q161" i="11"/>
  <c r="Q139" i="11"/>
  <c r="Q140" i="11"/>
  <c r="Q141" i="11"/>
  <c r="Q142" i="11"/>
  <c r="Q143" i="11"/>
  <c r="Q144" i="11"/>
  <c r="Q145" i="11"/>
  <c r="Q146" i="11"/>
  <c r="Q147" i="11"/>
  <c r="Q148" i="11"/>
  <c r="Q149" i="11"/>
  <c r="Q127" i="11"/>
  <c r="Q128" i="11"/>
  <c r="Q129" i="11"/>
  <c r="Q130" i="11"/>
  <c r="Q131" i="11"/>
  <c r="Q132" i="11"/>
  <c r="Q133" i="11"/>
  <c r="Q134" i="11"/>
  <c r="Q135" i="11"/>
  <c r="Q136" i="11"/>
  <c r="Q137" i="11"/>
  <c r="Q115" i="11"/>
  <c r="Q116" i="11"/>
  <c r="Q117" i="11"/>
  <c r="Q118" i="11"/>
  <c r="Q119" i="11"/>
  <c r="Q120" i="11"/>
  <c r="Q121" i="11"/>
  <c r="Q122" i="11"/>
  <c r="Q123" i="11"/>
  <c r="Q124" i="11"/>
  <c r="Q125" i="11"/>
  <c r="Q103" i="11"/>
  <c r="Q104" i="11"/>
  <c r="Q105" i="11"/>
  <c r="Q106" i="11"/>
  <c r="Q107" i="11"/>
  <c r="Q108" i="11"/>
  <c r="Q109" i="11"/>
  <c r="Q110" i="11"/>
  <c r="Q111" i="11"/>
  <c r="Q112" i="11"/>
  <c r="Q113" i="11"/>
  <c r="Q91" i="11"/>
  <c r="Q92" i="11"/>
  <c r="Q93" i="11"/>
  <c r="Q94" i="11"/>
  <c r="Q95" i="11"/>
  <c r="Q96" i="11"/>
  <c r="Q97" i="11"/>
  <c r="Q98" i="11"/>
  <c r="Q99" i="11"/>
  <c r="Q100" i="11"/>
  <c r="Q101" i="11"/>
  <c r="Q79" i="11"/>
  <c r="Q80" i="11"/>
  <c r="Q81" i="11"/>
  <c r="Q82" i="11"/>
  <c r="Q83" i="11"/>
  <c r="Q84" i="11"/>
  <c r="Q85" i="11"/>
  <c r="Q86" i="11"/>
  <c r="Q87" i="11"/>
  <c r="Q88" i="11"/>
  <c r="Q89" i="11"/>
  <c r="Q67" i="11"/>
  <c r="Q68" i="11"/>
  <c r="Q69" i="11"/>
  <c r="Q70" i="11"/>
  <c r="Q71" i="11"/>
  <c r="Q72" i="11"/>
  <c r="Q73" i="11"/>
  <c r="Q74" i="11"/>
  <c r="Q75" i="11"/>
  <c r="Q76" i="11"/>
  <c r="Q77" i="11"/>
  <c r="Q55" i="11"/>
  <c r="Q56" i="11"/>
  <c r="Q57" i="11"/>
  <c r="Q58" i="11"/>
  <c r="Q59" i="11"/>
  <c r="Q60" i="11"/>
  <c r="Q61" i="11"/>
  <c r="Q62" i="11"/>
  <c r="Q63" i="11"/>
  <c r="Q64" i="11"/>
  <c r="Q65" i="11"/>
  <c r="Q43" i="11"/>
  <c r="Q44" i="11"/>
  <c r="Q45" i="11"/>
  <c r="Q46" i="11"/>
  <c r="Q47" i="11"/>
  <c r="Q48" i="11"/>
  <c r="Q49" i="11"/>
  <c r="Q50" i="11"/>
  <c r="Q51" i="11"/>
  <c r="Q52" i="11"/>
  <c r="Q53" i="11"/>
  <c r="Q31" i="11"/>
  <c r="Q32" i="11"/>
  <c r="Q33" i="11"/>
  <c r="Q34" i="11"/>
  <c r="Q35" i="11"/>
  <c r="Q36" i="11"/>
  <c r="Q37" i="11"/>
  <c r="Q38" i="11"/>
  <c r="Q39" i="11"/>
  <c r="Q40" i="11"/>
  <c r="Q41" i="11"/>
  <c r="Q19" i="11"/>
  <c r="Q20" i="11"/>
  <c r="Q21" i="11"/>
  <c r="Q22" i="11"/>
  <c r="Q23" i="11"/>
  <c r="Q24" i="11"/>
  <c r="Q25" i="11"/>
  <c r="Q26" i="11"/>
  <c r="Q27" i="11"/>
  <c r="Q28" i="11"/>
  <c r="Q29" i="11"/>
  <c r="U18"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S62" i="11"/>
  <c r="S63" i="11"/>
  <c r="S64" i="11"/>
  <c r="S65" i="11"/>
  <c r="S66" i="11"/>
  <c r="S67" i="11"/>
  <c r="S68" i="11"/>
  <c r="S69" i="11"/>
  <c r="S70" i="11"/>
  <c r="S71" i="11"/>
  <c r="S72" i="11"/>
  <c r="S73" i="11"/>
  <c r="S74" i="11"/>
  <c r="S75" i="11"/>
  <c r="S76" i="11"/>
  <c r="S77" i="11"/>
  <c r="S78" i="11"/>
  <c r="S79" i="11"/>
  <c r="S80" i="11"/>
  <c r="S81" i="11"/>
  <c r="S82" i="11"/>
  <c r="S83" i="11"/>
  <c r="S84" i="11"/>
  <c r="S85" i="11"/>
  <c r="S86" i="11"/>
  <c r="S87" i="11"/>
  <c r="S88" i="11"/>
  <c r="S89" i="11"/>
  <c r="S90" i="11"/>
  <c r="S91" i="11"/>
  <c r="S92" i="11"/>
  <c r="S93" i="11"/>
  <c r="S94" i="11"/>
  <c r="S95" i="11"/>
  <c r="S96" i="11"/>
  <c r="S97" i="11"/>
  <c r="S98" i="11"/>
  <c r="S99" i="11"/>
  <c r="S100" i="11"/>
  <c r="S101" i="11"/>
  <c r="S102" i="11"/>
  <c r="S103" i="11"/>
  <c r="S104" i="11"/>
  <c r="S105" i="11"/>
  <c r="S106" i="11"/>
  <c r="S107" i="11"/>
  <c r="S108" i="11"/>
  <c r="S109" i="11"/>
  <c r="S110" i="11"/>
  <c r="S111" i="11"/>
  <c r="S112" i="11"/>
  <c r="S113" i="11"/>
  <c r="S114" i="11"/>
  <c r="S115" i="11"/>
  <c r="S116" i="11"/>
  <c r="S117" i="11"/>
  <c r="S118" i="11"/>
  <c r="S119" i="11"/>
  <c r="S120" i="11"/>
  <c r="S121" i="11"/>
  <c r="S122" i="11"/>
  <c r="S123" i="11"/>
  <c r="S124" i="11"/>
  <c r="S125" i="11"/>
  <c r="S126" i="11"/>
  <c r="S127" i="11"/>
  <c r="S128" i="11"/>
  <c r="S129" i="11"/>
  <c r="S130" i="11"/>
  <c r="S131" i="11"/>
  <c r="S132" i="11"/>
  <c r="S133" i="11"/>
  <c r="S134" i="11"/>
  <c r="S135" i="11"/>
  <c r="S136" i="11"/>
  <c r="S137" i="11"/>
  <c r="S138" i="11"/>
  <c r="S139" i="11"/>
  <c r="S140" i="11"/>
  <c r="S141" i="11"/>
  <c r="S142" i="11"/>
  <c r="S143" i="11"/>
  <c r="S144" i="11"/>
  <c r="S145" i="11"/>
  <c r="S146" i="11"/>
  <c r="S147" i="11"/>
  <c r="S148" i="11"/>
  <c r="S149" i="11"/>
  <c r="S150" i="11"/>
  <c r="S151" i="11"/>
  <c r="S152" i="11"/>
  <c r="S153" i="11"/>
  <c r="S154" i="11"/>
  <c r="S155" i="11"/>
  <c r="S156" i="11"/>
  <c r="S157" i="11"/>
  <c r="S158" i="11"/>
  <c r="S159" i="11"/>
  <c r="S160" i="11"/>
  <c r="S161" i="11"/>
  <c r="S162" i="11"/>
  <c r="S163" i="11"/>
  <c r="S164" i="11"/>
  <c r="S165" i="11"/>
  <c r="S166" i="11"/>
  <c r="S167" i="11"/>
  <c r="S168" i="11"/>
  <c r="S169" i="11"/>
  <c r="S170" i="11"/>
  <c r="S171" i="11"/>
  <c r="S172" i="11"/>
  <c r="S173" i="11"/>
  <c r="S174" i="11"/>
  <c r="S175" i="11"/>
  <c r="S176" i="11"/>
  <c r="S177" i="11"/>
  <c r="S178" i="11"/>
  <c r="S179" i="11"/>
  <c r="S180" i="11"/>
  <c r="S181" i="11"/>
  <c r="S182" i="11"/>
  <c r="S183" i="11"/>
  <c r="S184" i="11"/>
  <c r="S185" i="11"/>
  <c r="S186" i="11"/>
  <c r="S187" i="11"/>
  <c r="S188" i="11"/>
  <c r="S189" i="11"/>
  <c r="S190" i="11"/>
  <c r="S191" i="11"/>
  <c r="S192" i="11"/>
  <c r="S193" i="11"/>
  <c r="S194" i="11"/>
  <c r="S195" i="11"/>
  <c r="S196" i="11"/>
  <c r="S197" i="11"/>
  <c r="S198" i="11"/>
  <c r="S199" i="11"/>
  <c r="S200" i="11"/>
  <c r="S201" i="11"/>
  <c r="S202" i="11"/>
  <c r="S203" i="11"/>
  <c r="S204" i="11"/>
  <c r="S205" i="11"/>
  <c r="S206" i="11"/>
  <c r="S207" i="11"/>
  <c r="S208" i="11"/>
  <c r="S209" i="11"/>
  <c r="S210" i="11"/>
  <c r="S211" i="11"/>
  <c r="S212" i="11"/>
  <c r="S213" i="11"/>
  <c r="S214" i="11"/>
  <c r="S215" i="11"/>
  <c r="S216" i="11"/>
  <c r="S217" i="11"/>
  <c r="S218" i="11"/>
  <c r="S219" i="11"/>
  <c r="S220" i="11"/>
  <c r="S221" i="11"/>
  <c r="S222" i="11"/>
  <c r="S223" i="11"/>
  <c r="S224" i="11"/>
  <c r="S225" i="11"/>
  <c r="S226" i="11"/>
  <c r="S227" i="11"/>
  <c r="S228" i="11"/>
  <c r="S229" i="11"/>
  <c r="S230" i="11"/>
  <c r="S231" i="11"/>
  <c r="S232" i="11"/>
  <c r="S233" i="11"/>
  <c r="S234" i="11"/>
  <c r="S235" i="11"/>
  <c r="S236" i="11"/>
  <c r="S237" i="11"/>
  <c r="S238" i="11"/>
  <c r="S239" i="11"/>
  <c r="S240" i="11"/>
  <c r="S241" i="11"/>
  <c r="S242" i="11"/>
  <c r="S243" i="11"/>
  <c r="S244" i="11"/>
  <c r="S245" i="11"/>
  <c r="S246" i="11"/>
  <c r="S247" i="11"/>
  <c r="S248" i="11"/>
  <c r="S249" i="11"/>
  <c r="S250" i="11"/>
  <c r="S251" i="11"/>
  <c r="S252" i="11"/>
  <c r="S253" i="11"/>
  <c r="S254" i="11"/>
  <c r="S255" i="11"/>
  <c r="S256" i="11"/>
  <c r="S257" i="11"/>
  <c r="S258" i="11"/>
  <c r="S259" i="11"/>
  <c r="S260" i="11"/>
  <c r="S261" i="11"/>
  <c r="S262" i="11"/>
  <c r="S263" i="11"/>
  <c r="S264" i="11"/>
  <c r="S265" i="11"/>
  <c r="S266" i="11"/>
  <c r="S267" i="11"/>
  <c r="S268" i="11"/>
  <c r="S269" i="11"/>
  <c r="S270" i="11"/>
  <c r="S271" i="11"/>
  <c r="S272" i="11"/>
  <c r="S273" i="11"/>
  <c r="S274" i="11"/>
  <c r="S275" i="11"/>
  <c r="S276" i="11"/>
  <c r="S277" i="11"/>
  <c r="S278" i="11"/>
  <c r="S279" i="11"/>
  <c r="S280" i="11"/>
  <c r="S281" i="11"/>
  <c r="S282" i="11"/>
  <c r="S283" i="11"/>
  <c r="S284" i="11"/>
  <c r="S285" i="11"/>
  <c r="S286" i="11"/>
  <c r="S287" i="11"/>
  <c r="S288" i="11"/>
  <c r="S289" i="11"/>
  <c r="S290" i="11"/>
  <c r="S291" i="11"/>
  <c r="S292" i="11"/>
  <c r="S293" i="11"/>
  <c r="S294" i="11"/>
  <c r="S295" i="11"/>
  <c r="S296" i="11"/>
  <c r="S297" i="11"/>
  <c r="S298" i="11"/>
  <c r="S299" i="11"/>
  <c r="S300" i="11"/>
  <c r="S301" i="11"/>
  <c r="S302" i="11"/>
  <c r="S303" i="11"/>
  <c r="S304" i="11"/>
  <c r="S305" i="11"/>
  <c r="S306" i="11"/>
  <c r="S307" i="11"/>
  <c r="S308" i="11"/>
  <c r="S309" i="11"/>
  <c r="S310" i="11"/>
  <c r="S311" i="11"/>
  <c r="S312" i="11"/>
  <c r="S313" i="11"/>
  <c r="S314" i="11"/>
  <c r="S315" i="11"/>
  <c r="S316" i="11"/>
  <c r="S317" i="11"/>
  <c r="S318" i="11"/>
  <c r="S319" i="11"/>
  <c r="S320" i="11"/>
  <c r="S321" i="11"/>
  <c r="S322" i="11"/>
  <c r="S323" i="11"/>
  <c r="S324" i="11"/>
  <c r="S325" i="11"/>
  <c r="S326" i="11"/>
  <c r="S327" i="11"/>
  <c r="S328" i="11"/>
  <c r="S329" i="11"/>
  <c r="S330" i="11"/>
  <c r="S331" i="11"/>
  <c r="S332" i="11"/>
  <c r="S333" i="11"/>
  <c r="S334" i="11"/>
  <c r="S335" i="11"/>
  <c r="S336" i="11"/>
  <c r="S337" i="11"/>
  <c r="S338" i="11"/>
  <c r="S339" i="11"/>
  <c r="S340" i="11"/>
  <c r="S341" i="11"/>
  <c r="S342" i="11"/>
  <c r="S343" i="11"/>
  <c r="S344" i="11"/>
  <c r="S345" i="11"/>
  <c r="S346" i="11"/>
  <c r="S347" i="11"/>
  <c r="S348" i="11"/>
  <c r="S349" i="11"/>
  <c r="S350" i="11"/>
  <c r="S351" i="11"/>
  <c r="S352" i="11"/>
  <c r="S353" i="11"/>
  <c r="S354" i="11"/>
  <c r="S355" i="11"/>
  <c r="S356" i="11"/>
  <c r="S357" i="11"/>
  <c r="S358" i="11"/>
  <c r="S359" i="11"/>
  <c r="S360" i="11"/>
  <c r="S361" i="11"/>
  <c r="S362" i="11"/>
  <c r="S363" i="11"/>
  <c r="S364" i="11"/>
  <c r="S365" i="11"/>
  <c r="S366" i="11"/>
  <c r="S367" i="11"/>
  <c r="S368" i="11"/>
  <c r="S369" i="11"/>
  <c r="S370" i="11"/>
  <c r="S371" i="11"/>
  <c r="S372" i="11"/>
  <c r="S373" i="11"/>
  <c r="S374" i="11"/>
  <c r="S375" i="11"/>
  <c r="S376" i="11"/>
  <c r="S377" i="11"/>
  <c r="S378" i="11"/>
  <c r="S379" i="11"/>
  <c r="S380" i="11"/>
  <c r="S381" i="11"/>
  <c r="S382" i="11"/>
  <c r="S383" i="11"/>
  <c r="S384" i="11"/>
  <c r="S385" i="11"/>
  <c r="S386" i="11"/>
  <c r="S387" i="11"/>
  <c r="S388" i="11"/>
  <c r="S389" i="11"/>
  <c r="S390" i="11"/>
  <c r="S391" i="11"/>
  <c r="S392" i="11"/>
  <c r="S393" i="11"/>
  <c r="S394" i="11"/>
  <c r="S395" i="11"/>
  <c r="S396" i="11"/>
  <c r="S397" i="11"/>
  <c r="S398" i="11"/>
  <c r="S399" i="11"/>
  <c r="S400" i="11"/>
  <c r="S401" i="11"/>
  <c r="S402" i="11"/>
  <c r="S403" i="11"/>
  <c r="S404" i="11"/>
  <c r="S405" i="11"/>
  <c r="S406" i="11"/>
  <c r="S407" i="11"/>
  <c r="S408" i="11"/>
  <c r="S409" i="11"/>
  <c r="S410" i="11"/>
  <c r="S411" i="11"/>
  <c r="S412" i="11"/>
  <c r="S413" i="11"/>
  <c r="S414" i="11"/>
  <c r="S415" i="11"/>
  <c r="S416" i="11"/>
  <c r="S417" i="11"/>
  <c r="S418" i="11"/>
  <c r="S419" i="11"/>
  <c r="S420" i="11"/>
  <c r="S421" i="11"/>
  <c r="S422" i="11"/>
  <c r="S423" i="11"/>
  <c r="S424" i="11"/>
  <c r="S425" i="11"/>
  <c r="S426" i="11"/>
  <c r="S427" i="11"/>
  <c r="S428" i="11"/>
  <c r="S429" i="11"/>
  <c r="S430" i="11"/>
  <c r="S431" i="11"/>
  <c r="S432" i="11"/>
  <c r="S433" i="11"/>
  <c r="S434" i="11"/>
  <c r="S435" i="11"/>
  <c r="S436" i="11"/>
  <c r="S437" i="11"/>
  <c r="S438" i="11"/>
  <c r="S439" i="11"/>
  <c r="S440" i="11"/>
  <c r="S441" i="11"/>
  <c r="S442" i="11"/>
  <c r="S443" i="11"/>
  <c r="S444" i="11"/>
  <c r="S445" i="11"/>
  <c r="S446" i="11"/>
  <c r="S447" i="11"/>
  <c r="S448" i="11"/>
  <c r="S449" i="11"/>
  <c r="S450" i="11"/>
  <c r="S451" i="11"/>
  <c r="S452" i="11"/>
  <c r="S453" i="11"/>
  <c r="S454" i="11"/>
  <c r="S455" i="11"/>
  <c r="S456" i="11"/>
  <c r="S457" i="11"/>
  <c r="S458" i="11"/>
  <c r="S459" i="11"/>
  <c r="S460" i="11"/>
  <c r="S461" i="11"/>
  <c r="S462" i="11"/>
  <c r="S463" i="11"/>
  <c r="S464" i="11"/>
  <c r="S465" i="11"/>
  <c r="S466" i="11"/>
  <c r="S467" i="11"/>
  <c r="S468" i="11"/>
  <c r="S469" i="11"/>
  <c r="S470" i="11"/>
  <c r="S471" i="11"/>
  <c r="S472" i="11"/>
  <c r="S473" i="11"/>
  <c r="S474" i="11"/>
  <c r="S475" i="11"/>
  <c r="S476" i="11"/>
  <c r="S477" i="11"/>
  <c r="S478" i="11"/>
  <c r="S479" i="11"/>
  <c r="S480" i="11"/>
  <c r="S481" i="11"/>
  <c r="S482" i="11"/>
  <c r="S483" i="11"/>
  <c r="S484" i="11"/>
  <c r="S485" i="11"/>
  <c r="S486" i="11"/>
  <c r="S487" i="11"/>
  <c r="S488" i="11"/>
  <c r="S489" i="11"/>
  <c r="S490" i="11"/>
  <c r="S491" i="11"/>
  <c r="S492" i="11"/>
  <c r="S493" i="11"/>
  <c r="S494" i="11"/>
  <c r="S495" i="11"/>
  <c r="S496" i="11"/>
  <c r="S497" i="11"/>
  <c r="G18" i="11"/>
  <c r="H18" i="11"/>
  <c r="D487" i="11"/>
  <c r="D488" i="11"/>
  <c r="D489" i="11"/>
  <c r="D490" i="11"/>
  <c r="D491" i="11"/>
  <c r="D492" i="11"/>
  <c r="D493" i="11"/>
  <c r="D494" i="11"/>
  <c r="D495" i="11"/>
  <c r="D496" i="11"/>
  <c r="D497" i="11"/>
  <c r="D475" i="11"/>
  <c r="D476" i="11"/>
  <c r="D477" i="11"/>
  <c r="D478" i="11"/>
  <c r="D479" i="11"/>
  <c r="D480" i="11"/>
  <c r="D481" i="11"/>
  <c r="D482" i="11"/>
  <c r="D483" i="11"/>
  <c r="D484" i="11"/>
  <c r="D485" i="11"/>
  <c r="D463" i="11"/>
  <c r="D464" i="11"/>
  <c r="D465" i="11"/>
  <c r="D466" i="11"/>
  <c r="D467" i="11"/>
  <c r="D468" i="11"/>
  <c r="D469" i="11"/>
  <c r="D470" i="11"/>
  <c r="D471" i="11"/>
  <c r="D472" i="11"/>
  <c r="D473" i="11"/>
  <c r="D451" i="11"/>
  <c r="D452" i="11"/>
  <c r="D453" i="11"/>
  <c r="D454" i="11"/>
  <c r="D455" i="11"/>
  <c r="D456" i="11"/>
  <c r="D457" i="11"/>
  <c r="D458" i="11"/>
  <c r="D459" i="11"/>
  <c r="D460" i="11"/>
  <c r="D461" i="11"/>
  <c r="D439" i="11"/>
  <c r="D440" i="11"/>
  <c r="D441" i="11"/>
  <c r="D442" i="11"/>
  <c r="D443" i="11"/>
  <c r="D444" i="11"/>
  <c r="D445" i="11"/>
  <c r="D446" i="11"/>
  <c r="D447" i="11"/>
  <c r="D448" i="11"/>
  <c r="D449" i="11"/>
  <c r="D427" i="11"/>
  <c r="D428" i="11"/>
  <c r="D429" i="11"/>
  <c r="D430" i="11"/>
  <c r="D431" i="11"/>
  <c r="D432" i="11"/>
  <c r="D433" i="11"/>
  <c r="D434" i="11"/>
  <c r="D435" i="11"/>
  <c r="D436" i="11"/>
  <c r="D437" i="11"/>
  <c r="D415" i="11"/>
  <c r="D416" i="11"/>
  <c r="D417" i="11"/>
  <c r="D418" i="11"/>
  <c r="D419" i="11"/>
  <c r="D420" i="11"/>
  <c r="D421" i="11"/>
  <c r="D422" i="11"/>
  <c r="D423" i="11"/>
  <c r="D424" i="11"/>
  <c r="D425" i="11"/>
  <c r="D403" i="11"/>
  <c r="D404" i="11"/>
  <c r="D405" i="11"/>
  <c r="D406" i="11"/>
  <c r="D407" i="11"/>
  <c r="D408" i="11"/>
  <c r="D409" i="11"/>
  <c r="D410" i="11"/>
  <c r="D411" i="11"/>
  <c r="D412" i="11"/>
  <c r="D413" i="11"/>
  <c r="D391" i="11"/>
  <c r="D392" i="11"/>
  <c r="D393" i="11"/>
  <c r="D394" i="11"/>
  <c r="D395" i="11"/>
  <c r="D396" i="11"/>
  <c r="D397" i="11"/>
  <c r="D398" i="11"/>
  <c r="D399" i="11"/>
  <c r="D400" i="11"/>
  <c r="D401" i="11"/>
  <c r="D379" i="11"/>
  <c r="D380" i="11"/>
  <c r="D381" i="11"/>
  <c r="D382" i="11"/>
  <c r="D383" i="11"/>
  <c r="D384" i="11"/>
  <c r="D385" i="11"/>
  <c r="D386" i="11"/>
  <c r="D387" i="11"/>
  <c r="D388" i="11"/>
  <c r="D389" i="11"/>
  <c r="D367" i="11"/>
  <c r="D368" i="11"/>
  <c r="D369" i="11"/>
  <c r="D370" i="11"/>
  <c r="D371" i="11"/>
  <c r="D372" i="11"/>
  <c r="D373" i="11"/>
  <c r="D374" i="11"/>
  <c r="D375" i="11"/>
  <c r="D376" i="11"/>
  <c r="D377" i="11"/>
  <c r="D355" i="11"/>
  <c r="D356" i="11"/>
  <c r="D357" i="11"/>
  <c r="D358" i="11"/>
  <c r="D359" i="11"/>
  <c r="D360" i="11"/>
  <c r="D361" i="11"/>
  <c r="D362" i="11"/>
  <c r="D363" i="11"/>
  <c r="D364" i="11"/>
  <c r="D365" i="11"/>
  <c r="D343" i="11"/>
  <c r="D344" i="11"/>
  <c r="D345" i="11"/>
  <c r="D346" i="11"/>
  <c r="D347" i="11"/>
  <c r="D348" i="11"/>
  <c r="D349" i="11"/>
  <c r="D350" i="11"/>
  <c r="D351" i="11"/>
  <c r="D352" i="11"/>
  <c r="D353" i="11"/>
  <c r="D331" i="11"/>
  <c r="D332" i="11"/>
  <c r="D333" i="11"/>
  <c r="D334" i="11"/>
  <c r="D335" i="11"/>
  <c r="D336" i="11"/>
  <c r="D337" i="11"/>
  <c r="D338" i="11"/>
  <c r="D339" i="11"/>
  <c r="D340" i="11"/>
  <c r="D341" i="11"/>
  <c r="D319" i="11"/>
  <c r="D320" i="11"/>
  <c r="D321" i="11"/>
  <c r="D322" i="11"/>
  <c r="D323" i="11"/>
  <c r="D324" i="11"/>
  <c r="D325" i="11"/>
  <c r="D326" i="11"/>
  <c r="D327" i="11"/>
  <c r="D328" i="11"/>
  <c r="D329" i="11"/>
  <c r="D307" i="11"/>
  <c r="D308" i="11"/>
  <c r="D309" i="11"/>
  <c r="D310" i="11"/>
  <c r="D311" i="11"/>
  <c r="D312" i="11"/>
  <c r="D313" i="11"/>
  <c r="D314" i="11"/>
  <c r="D315" i="11"/>
  <c r="D316" i="11"/>
  <c r="D317" i="11"/>
  <c r="D295" i="11"/>
  <c r="D296" i="11"/>
  <c r="D297" i="11"/>
  <c r="D298" i="11"/>
  <c r="D299" i="11"/>
  <c r="D300" i="11"/>
  <c r="D301" i="11"/>
  <c r="D302" i="11"/>
  <c r="D303" i="11"/>
  <c r="D304" i="11"/>
  <c r="D305" i="11"/>
  <c r="D283" i="11"/>
  <c r="D284" i="11"/>
  <c r="D285" i="11"/>
  <c r="D286" i="11"/>
  <c r="D287" i="11"/>
  <c r="D288" i="11"/>
  <c r="D289" i="11"/>
  <c r="D290" i="11"/>
  <c r="D291" i="11"/>
  <c r="D292" i="11"/>
  <c r="D293" i="11"/>
  <c r="D271" i="11"/>
  <c r="D272" i="11"/>
  <c r="D273" i="11"/>
  <c r="D274" i="11"/>
  <c r="D275" i="11"/>
  <c r="D276" i="11"/>
  <c r="D277" i="11"/>
  <c r="D278" i="11"/>
  <c r="D279" i="11"/>
  <c r="D280" i="11"/>
  <c r="D281" i="11"/>
  <c r="D259" i="11"/>
  <c r="D260" i="11"/>
  <c r="D261" i="11"/>
  <c r="D262" i="11"/>
  <c r="D263" i="11"/>
  <c r="D264" i="11"/>
  <c r="D265" i="11"/>
  <c r="D266" i="11"/>
  <c r="D267" i="11"/>
  <c r="D268" i="11"/>
  <c r="D269" i="11"/>
  <c r="D247" i="11"/>
  <c r="D248" i="11"/>
  <c r="D249" i="11"/>
  <c r="D250" i="11"/>
  <c r="D251" i="11"/>
  <c r="D252" i="11"/>
  <c r="D253" i="11"/>
  <c r="D254" i="11"/>
  <c r="D255" i="11"/>
  <c r="D256" i="11"/>
  <c r="D257" i="11"/>
  <c r="D235" i="11"/>
  <c r="D236" i="11"/>
  <c r="D237" i="11"/>
  <c r="D238" i="11"/>
  <c r="D239" i="11"/>
  <c r="D240" i="11"/>
  <c r="D241" i="11"/>
  <c r="D242" i="11"/>
  <c r="D243" i="11"/>
  <c r="D244" i="11"/>
  <c r="D245" i="11"/>
  <c r="D223" i="11"/>
  <c r="D224" i="11"/>
  <c r="D225" i="11"/>
  <c r="D226" i="11"/>
  <c r="D227" i="11"/>
  <c r="D228" i="11"/>
  <c r="D229" i="11"/>
  <c r="D230" i="11"/>
  <c r="D231" i="11"/>
  <c r="D232" i="11"/>
  <c r="D233" i="11"/>
  <c r="D211" i="11"/>
  <c r="D212" i="11"/>
  <c r="D213" i="11"/>
  <c r="D214" i="11"/>
  <c r="D215" i="11"/>
  <c r="D216" i="11"/>
  <c r="D217" i="11"/>
  <c r="D218" i="11"/>
  <c r="D219" i="11"/>
  <c r="D220" i="11"/>
  <c r="D221" i="11"/>
  <c r="D199" i="11"/>
  <c r="D200" i="11"/>
  <c r="D201" i="11"/>
  <c r="D202" i="11"/>
  <c r="D203" i="11"/>
  <c r="D204" i="11"/>
  <c r="D205" i="11"/>
  <c r="D206" i="11"/>
  <c r="D207" i="11"/>
  <c r="D208" i="11"/>
  <c r="D209" i="11"/>
  <c r="D187" i="11"/>
  <c r="D188" i="11"/>
  <c r="D189" i="11"/>
  <c r="D190" i="11"/>
  <c r="D191" i="11"/>
  <c r="D192" i="11"/>
  <c r="D193" i="11"/>
  <c r="D194" i="11"/>
  <c r="D195" i="11"/>
  <c r="D196" i="11"/>
  <c r="D197" i="11"/>
  <c r="D175" i="11"/>
  <c r="D176" i="11"/>
  <c r="D177" i="11"/>
  <c r="D178" i="11"/>
  <c r="D179" i="11"/>
  <c r="D180" i="11"/>
  <c r="D181" i="11"/>
  <c r="D182" i="11"/>
  <c r="D183" i="11"/>
  <c r="D184" i="11"/>
  <c r="D185" i="11"/>
  <c r="D163" i="11"/>
  <c r="D164" i="11"/>
  <c r="D165" i="11"/>
  <c r="D166" i="11"/>
  <c r="D167" i="11"/>
  <c r="D168" i="11"/>
  <c r="D169" i="11"/>
  <c r="D170" i="11"/>
  <c r="D171" i="11"/>
  <c r="D172" i="11"/>
  <c r="D173" i="11"/>
  <c r="D151" i="11"/>
  <c r="D152" i="11"/>
  <c r="D153" i="11"/>
  <c r="D154" i="11"/>
  <c r="D155" i="11"/>
  <c r="D156" i="11"/>
  <c r="D157" i="11"/>
  <c r="D158" i="11"/>
  <c r="D159" i="11"/>
  <c r="D160" i="11"/>
  <c r="D161" i="11"/>
  <c r="D139" i="11"/>
  <c r="D140" i="11"/>
  <c r="D141" i="11"/>
  <c r="D142" i="11"/>
  <c r="D143" i="11"/>
  <c r="D144" i="11"/>
  <c r="D145" i="11"/>
  <c r="D146" i="11"/>
  <c r="D147" i="11"/>
  <c r="D148" i="11"/>
  <c r="D149" i="11"/>
  <c r="D127" i="11"/>
  <c r="D128" i="11"/>
  <c r="D129" i="11"/>
  <c r="D130" i="11"/>
  <c r="D131" i="11"/>
  <c r="D132" i="11"/>
  <c r="D133" i="11"/>
  <c r="D134" i="11"/>
  <c r="D135" i="11"/>
  <c r="D136" i="11"/>
  <c r="D137" i="11"/>
  <c r="D115" i="11"/>
  <c r="D116" i="11"/>
  <c r="D117" i="11"/>
  <c r="D118" i="11"/>
  <c r="D119" i="11"/>
  <c r="D120" i="11"/>
  <c r="D121" i="11"/>
  <c r="D122" i="11"/>
  <c r="D123" i="11"/>
  <c r="D124" i="11"/>
  <c r="D125" i="11"/>
  <c r="D103" i="11"/>
  <c r="D104" i="11"/>
  <c r="D105" i="11"/>
  <c r="D106" i="11"/>
  <c r="D107" i="11"/>
  <c r="D108" i="11"/>
  <c r="D109" i="11"/>
  <c r="D110" i="11"/>
  <c r="D111" i="11"/>
  <c r="D112" i="11"/>
  <c r="D113" i="11"/>
  <c r="D91" i="11"/>
  <c r="D92" i="11"/>
  <c r="D93" i="11"/>
  <c r="D94" i="11"/>
  <c r="D95" i="11"/>
  <c r="D96" i="11"/>
  <c r="D97" i="11"/>
  <c r="D98" i="11"/>
  <c r="D99" i="11"/>
  <c r="D100" i="11"/>
  <c r="D101" i="11"/>
  <c r="D79" i="11"/>
  <c r="D80" i="11"/>
  <c r="D81" i="11"/>
  <c r="D82" i="11"/>
  <c r="D83" i="11"/>
  <c r="D84" i="11"/>
  <c r="D85" i="11"/>
  <c r="D86" i="11"/>
  <c r="D87" i="11"/>
  <c r="D88" i="11"/>
  <c r="D89" i="11"/>
  <c r="D67" i="11"/>
  <c r="D68" i="11"/>
  <c r="D69" i="11"/>
  <c r="D70" i="11"/>
  <c r="D71" i="11"/>
  <c r="D72" i="11"/>
  <c r="D73" i="11"/>
  <c r="D74" i="11"/>
  <c r="D75" i="11"/>
  <c r="D76" i="11"/>
  <c r="D77" i="11"/>
  <c r="D55" i="11"/>
  <c r="D56" i="11"/>
  <c r="D57" i="11"/>
  <c r="D58" i="11"/>
  <c r="D59" i="11"/>
  <c r="D60" i="11"/>
  <c r="D61" i="11"/>
  <c r="D62" i="11"/>
  <c r="D63" i="11"/>
  <c r="D64" i="11"/>
  <c r="D65" i="11"/>
  <c r="D43" i="11"/>
  <c r="D44" i="11"/>
  <c r="D45" i="11"/>
  <c r="D46" i="11"/>
  <c r="D47" i="11"/>
  <c r="D48" i="11"/>
  <c r="D49" i="11"/>
  <c r="D50" i="11"/>
  <c r="D51" i="11"/>
  <c r="D52" i="11"/>
  <c r="D53" i="11"/>
  <c r="D31" i="11"/>
  <c r="D32" i="11"/>
  <c r="D33" i="11"/>
  <c r="D34" i="11"/>
  <c r="D35" i="11"/>
  <c r="D36" i="11"/>
  <c r="D37" i="11"/>
  <c r="D38" i="11"/>
  <c r="D39" i="11"/>
  <c r="D40" i="11"/>
  <c r="D41" i="11"/>
  <c r="B18" i="11"/>
  <c r="C19" i="11"/>
  <c r="F19" i="11"/>
  <c r="D19" i="11"/>
  <c r="D20" i="11"/>
  <c r="D21" i="11"/>
  <c r="D22" i="11"/>
  <c r="D23" i="11"/>
  <c r="D24" i="11"/>
  <c r="D25" i="11"/>
  <c r="D26" i="11"/>
  <c r="D27" i="11"/>
  <c r="D28" i="11"/>
  <c r="D29" i="11"/>
  <c r="F26" i="18"/>
  <c r="F14" i="18"/>
  <c r="AC25" i="18"/>
  <c r="H26" i="18"/>
  <c r="H14" i="18"/>
  <c r="J26" i="18"/>
  <c r="J14" i="18"/>
  <c r="AC27" i="18"/>
  <c r="Q31" i="1"/>
  <c r="AC20" i="11"/>
  <c r="AC21" i="11"/>
  <c r="AC22" i="11"/>
  <c r="R19" i="11"/>
  <c r="G19" i="11"/>
  <c r="AG19" i="11"/>
  <c r="AG20" i="11"/>
  <c r="AG21" i="11"/>
  <c r="C20" i="11"/>
  <c r="R20" i="11"/>
  <c r="O19" i="11"/>
  <c r="N19" i="11" s="1"/>
  <c r="AC26" i="18"/>
  <c r="P39" i="1"/>
  <c r="Q39" i="1"/>
  <c r="AC14" i="18"/>
  <c r="C21" i="11"/>
  <c r="F20" i="11"/>
  <c r="AG22" i="11"/>
  <c r="AG23" i="11"/>
  <c r="G20" i="11"/>
  <c r="G21" i="11"/>
  <c r="G22" i="11"/>
  <c r="G23" i="11"/>
  <c r="G24" i="11"/>
  <c r="G25" i="11"/>
  <c r="G26" i="11"/>
  <c r="G27" i="11"/>
  <c r="G28" i="11"/>
  <c r="G29" i="11"/>
  <c r="G30" i="11"/>
  <c r="G31" i="11"/>
  <c r="AC23" i="11"/>
  <c r="R21" i="11"/>
  <c r="O20" i="11"/>
  <c r="N20" i="11"/>
  <c r="C22" i="11"/>
  <c r="F21" i="11"/>
  <c r="AC24" i="11"/>
  <c r="R22" i="11"/>
  <c r="G68" i="18"/>
  <c r="C23" i="11"/>
  <c r="F22" i="11"/>
  <c r="AG24" i="11"/>
  <c r="G32" i="11"/>
  <c r="AC25" i="11"/>
  <c r="R23" i="11"/>
  <c r="O22" i="11"/>
  <c r="N22" i="11" s="1"/>
  <c r="C24" i="11"/>
  <c r="F23" i="11"/>
  <c r="G33" i="11"/>
  <c r="AC26" i="11"/>
  <c r="AG25" i="11"/>
  <c r="R24" i="11"/>
  <c r="O23" i="11"/>
  <c r="N23" i="11" s="1"/>
  <c r="G72" i="18"/>
  <c r="C25" i="11"/>
  <c r="F24" i="11"/>
  <c r="G34" i="11"/>
  <c r="AC27" i="11"/>
  <c r="AG26" i="11"/>
  <c r="R25" i="11"/>
  <c r="O24" i="11"/>
  <c r="N24" i="11" s="1"/>
  <c r="H68" i="18"/>
  <c r="C26" i="11"/>
  <c r="F25" i="11"/>
  <c r="G35" i="11"/>
  <c r="AC28" i="11"/>
  <c r="AG27" i="11"/>
  <c r="R26" i="11"/>
  <c r="O25" i="11"/>
  <c r="N25" i="11" s="1"/>
  <c r="C27" i="11"/>
  <c r="F26" i="11"/>
  <c r="G36" i="11"/>
  <c r="AC29" i="11"/>
  <c r="AG28" i="11"/>
  <c r="AG29" i="11"/>
  <c r="R27" i="11"/>
  <c r="C28" i="11"/>
  <c r="F27" i="11"/>
  <c r="G37" i="11"/>
  <c r="AC30" i="11"/>
  <c r="R28" i="11"/>
  <c r="O27" i="11"/>
  <c r="N27" i="11" s="1"/>
  <c r="C29" i="11"/>
  <c r="F28" i="11"/>
  <c r="G38" i="11"/>
  <c r="AC31" i="11"/>
  <c r="AG30" i="11"/>
  <c r="R29" i="11"/>
  <c r="C30" i="11"/>
  <c r="F29" i="11"/>
  <c r="AG31" i="11"/>
  <c r="AC32" i="11"/>
  <c r="R30" i="11"/>
  <c r="F30" i="11"/>
  <c r="C31" i="11"/>
  <c r="B30" i="11"/>
  <c r="AG32" i="11"/>
  <c r="AC33" i="11"/>
  <c r="R31" i="11"/>
  <c r="O30" i="11"/>
  <c r="N30" i="11" s="1"/>
  <c r="F31" i="11"/>
  <c r="C32" i="11"/>
  <c r="AG33" i="11"/>
  <c r="AC34" i="11"/>
  <c r="R32" i="11"/>
  <c r="O31" i="11"/>
  <c r="N31" i="11" s="1"/>
  <c r="F32" i="11"/>
  <c r="C33" i="11"/>
  <c r="AC35" i="11"/>
  <c r="AG34" i="11"/>
  <c r="R33" i="11"/>
  <c r="F33" i="11"/>
  <c r="C34" i="11"/>
  <c r="AG35" i="11"/>
  <c r="AC36" i="11"/>
  <c r="R34" i="11"/>
  <c r="F34" i="11"/>
  <c r="C35" i="11"/>
  <c r="AG36" i="11"/>
  <c r="AC37" i="11"/>
  <c r="O34" i="11"/>
  <c r="N34" i="11" s="1"/>
  <c r="R35" i="11"/>
  <c r="F35" i="11"/>
  <c r="C36" i="11"/>
  <c r="AG37" i="11"/>
  <c r="AC38" i="11"/>
  <c r="R36" i="11"/>
  <c r="F36" i="11"/>
  <c r="C37" i="11"/>
  <c r="AG38" i="11"/>
  <c r="AC39" i="11"/>
  <c r="R37" i="11"/>
  <c r="F37" i="11"/>
  <c r="C38" i="11"/>
  <c r="AG39" i="11"/>
  <c r="AC40" i="11"/>
  <c r="R38" i="11"/>
  <c r="F38" i="11"/>
  <c r="C39" i="11"/>
  <c r="AC41" i="11"/>
  <c r="AG40" i="11"/>
  <c r="O38" i="11"/>
  <c r="N38" i="11" s="1"/>
  <c r="R39" i="11"/>
  <c r="G39" i="11"/>
  <c r="F39" i="11"/>
  <c r="C40" i="11"/>
  <c r="AG41" i="11"/>
  <c r="AC42" i="11"/>
  <c r="R40" i="11"/>
  <c r="G40" i="11"/>
  <c r="F40" i="11"/>
  <c r="C41" i="11"/>
  <c r="AG42" i="11"/>
  <c r="AC43" i="11"/>
  <c r="R41" i="11"/>
  <c r="G41" i="11"/>
  <c r="F41" i="11"/>
  <c r="C42" i="11"/>
  <c r="AG43" i="11"/>
  <c r="AC44" i="11"/>
  <c r="R42" i="11"/>
  <c r="G42" i="11"/>
  <c r="F42" i="11"/>
  <c r="C43" i="11"/>
  <c r="B42" i="11"/>
  <c r="AC45" i="11"/>
  <c r="AG44" i="11"/>
  <c r="O42" i="11"/>
  <c r="N42" i="11"/>
  <c r="R43" i="11"/>
  <c r="G43" i="11"/>
  <c r="F43" i="11"/>
  <c r="C44" i="11"/>
  <c r="AG45" i="11"/>
  <c r="AC46" i="11"/>
  <c r="R44" i="11"/>
  <c r="G44" i="11"/>
  <c r="F44" i="11"/>
  <c r="C45" i="11"/>
  <c r="AC47" i="11"/>
  <c r="AG46" i="11"/>
  <c r="O44" i="11"/>
  <c r="N44" i="11" s="1"/>
  <c r="R45" i="11"/>
  <c r="G45" i="11"/>
  <c r="F45" i="11"/>
  <c r="C46" i="11"/>
  <c r="AG47" i="11"/>
  <c r="AC48" i="11"/>
  <c r="R46" i="11"/>
  <c r="G46" i="11"/>
  <c r="F46" i="11"/>
  <c r="C47" i="11"/>
  <c r="AC49" i="11"/>
  <c r="AG48" i="11"/>
  <c r="O46" i="11"/>
  <c r="N46" i="11" s="1"/>
  <c r="R47" i="11"/>
  <c r="G47" i="11"/>
  <c r="F47" i="11"/>
  <c r="C48" i="11"/>
  <c r="AG49" i="11"/>
  <c r="AC50" i="11"/>
  <c r="O47" i="11"/>
  <c r="N47" i="11"/>
  <c r="R48" i="11"/>
  <c r="G48" i="11"/>
  <c r="F48" i="11"/>
  <c r="C49" i="11"/>
  <c r="AC51" i="11"/>
  <c r="AG50" i="11"/>
  <c r="AG51" i="11"/>
  <c r="R49" i="11"/>
  <c r="G49" i="11"/>
  <c r="F49" i="11"/>
  <c r="C50" i="11"/>
  <c r="AC52" i="11"/>
  <c r="O49" i="11"/>
  <c r="N49" i="11" s="1"/>
  <c r="R50" i="11"/>
  <c r="G50" i="11"/>
  <c r="F50" i="11"/>
  <c r="C51" i="11"/>
  <c r="AC53" i="11"/>
  <c r="AG52" i="11"/>
  <c r="AG53" i="11"/>
  <c r="O50" i="11"/>
  <c r="N50" i="11" s="1"/>
  <c r="R51" i="11"/>
  <c r="G51" i="11"/>
  <c r="F51" i="11"/>
  <c r="C52" i="11"/>
  <c r="AC54" i="11"/>
  <c r="R52" i="11"/>
  <c r="G52" i="11"/>
  <c r="F52" i="11"/>
  <c r="C53" i="11"/>
  <c r="AC55" i="11"/>
  <c r="AG54" i="11"/>
  <c r="AG55" i="11"/>
  <c r="AG56" i="11"/>
  <c r="AG57" i="11"/>
  <c r="AG58" i="11"/>
  <c r="AG59" i="11"/>
  <c r="AG60" i="11"/>
  <c r="AG61" i="11"/>
  <c r="AG62" i="11"/>
  <c r="AG63" i="11"/>
  <c r="AG64" i="11"/>
  <c r="AG65" i="11"/>
  <c r="AG66" i="11"/>
  <c r="AG67" i="11"/>
  <c r="AG68" i="11"/>
  <c r="AG69" i="11"/>
  <c r="AG70" i="11"/>
  <c r="AG71" i="11"/>
  <c r="AG72" i="11"/>
  <c r="AG73" i="11"/>
  <c r="AG74" i="11"/>
  <c r="AG75" i="11"/>
  <c r="AG76" i="11"/>
  <c r="AG77" i="11"/>
  <c r="AG78" i="11"/>
  <c r="AG79" i="11"/>
  <c r="AG80" i="11"/>
  <c r="AG81" i="11"/>
  <c r="AG82" i="11"/>
  <c r="AG83" i="11"/>
  <c r="AG84" i="11"/>
  <c r="AG85" i="11"/>
  <c r="AG86" i="11"/>
  <c r="AG87" i="11"/>
  <c r="AG88" i="11"/>
  <c r="AG89" i="11"/>
  <c r="AG90" i="11"/>
  <c r="AG91" i="11"/>
  <c r="AG92" i="11"/>
  <c r="AG93" i="11"/>
  <c r="AG94" i="11"/>
  <c r="AG95" i="11"/>
  <c r="AG96" i="11"/>
  <c r="AG97" i="11"/>
  <c r="AG98" i="11"/>
  <c r="AG99" i="11"/>
  <c r="AG100" i="11"/>
  <c r="AG101" i="11"/>
  <c r="AG102" i="11"/>
  <c r="AG103" i="11"/>
  <c r="AG104" i="11"/>
  <c r="AG105" i="11"/>
  <c r="AG106" i="11"/>
  <c r="AG107" i="11"/>
  <c r="AG108" i="11"/>
  <c r="AG109" i="11"/>
  <c r="AG110" i="11"/>
  <c r="AG111" i="11"/>
  <c r="AG112" i="11"/>
  <c r="AG113" i="11"/>
  <c r="AG114" i="11"/>
  <c r="AG115" i="11"/>
  <c r="AG116" i="11"/>
  <c r="AG117" i="11"/>
  <c r="AG118" i="11"/>
  <c r="AG119" i="11"/>
  <c r="AG120" i="11"/>
  <c r="AG121" i="11"/>
  <c r="AG122" i="11"/>
  <c r="AG123" i="11"/>
  <c r="AG124" i="11"/>
  <c r="AG125" i="11"/>
  <c r="AG126" i="11"/>
  <c r="AG127" i="11"/>
  <c r="AG128" i="11"/>
  <c r="AG129" i="11"/>
  <c r="AG130" i="11"/>
  <c r="AG131" i="11"/>
  <c r="AG132" i="11"/>
  <c r="AG133" i="11"/>
  <c r="AG134" i="11"/>
  <c r="AG135" i="11"/>
  <c r="AG136" i="11"/>
  <c r="AG137" i="11"/>
  <c r="AG138" i="11"/>
  <c r="AG139" i="11"/>
  <c r="AG140" i="11"/>
  <c r="AG141" i="11"/>
  <c r="AG142" i="11"/>
  <c r="AG143" i="11"/>
  <c r="AG144" i="11"/>
  <c r="AG145" i="11"/>
  <c r="AG146" i="11"/>
  <c r="AG147" i="11"/>
  <c r="AG148" i="11"/>
  <c r="AG149" i="11"/>
  <c r="AG150" i="11"/>
  <c r="AG151" i="11"/>
  <c r="AG152" i="11"/>
  <c r="AG153" i="11"/>
  <c r="AG154" i="11"/>
  <c r="AG155" i="11"/>
  <c r="AG156" i="11"/>
  <c r="AG157" i="11"/>
  <c r="AG158" i="11"/>
  <c r="AG159" i="11"/>
  <c r="AG160" i="11"/>
  <c r="AG161" i="11"/>
  <c r="AG162" i="11"/>
  <c r="AG163" i="11"/>
  <c r="AG164" i="11"/>
  <c r="AG165" i="11"/>
  <c r="AG166" i="11"/>
  <c r="AG167" i="11"/>
  <c r="AG168" i="11"/>
  <c r="AG169" i="11"/>
  <c r="AG170" i="11"/>
  <c r="AG171" i="11"/>
  <c r="AG172" i="11"/>
  <c r="AG173" i="11"/>
  <c r="AG174" i="11"/>
  <c r="AG175" i="11"/>
  <c r="AG176" i="11"/>
  <c r="AG177" i="11"/>
  <c r="AG178" i="11"/>
  <c r="AG179" i="11"/>
  <c r="AG180" i="11"/>
  <c r="AG181" i="11"/>
  <c r="AG182" i="11"/>
  <c r="AG183" i="11"/>
  <c r="AG184" i="11"/>
  <c r="AG185" i="11"/>
  <c r="AG186" i="11"/>
  <c r="AG187" i="11"/>
  <c r="AG188" i="11"/>
  <c r="AG189" i="11"/>
  <c r="AG190" i="11"/>
  <c r="AG191" i="11"/>
  <c r="AG192" i="11"/>
  <c r="AG193" i="11"/>
  <c r="AG194" i="11"/>
  <c r="AG195" i="11"/>
  <c r="AG196" i="11"/>
  <c r="AG197" i="11"/>
  <c r="AG198" i="11"/>
  <c r="AG199" i="11"/>
  <c r="AG200" i="11"/>
  <c r="AG201" i="11"/>
  <c r="AG202" i="11"/>
  <c r="AG203" i="11"/>
  <c r="AG204" i="11"/>
  <c r="AG205" i="11"/>
  <c r="AG206" i="11"/>
  <c r="AG207" i="11"/>
  <c r="AG208" i="11"/>
  <c r="AG209" i="11"/>
  <c r="AG210" i="11"/>
  <c r="AG211" i="11"/>
  <c r="AG212" i="11"/>
  <c r="AG213" i="11"/>
  <c r="AG214" i="11"/>
  <c r="AG215" i="11"/>
  <c r="AG216" i="11"/>
  <c r="AG217" i="11"/>
  <c r="AG218" i="11"/>
  <c r="AG219" i="11"/>
  <c r="AG220" i="11"/>
  <c r="AG221" i="11"/>
  <c r="AG222" i="11"/>
  <c r="AG223" i="11"/>
  <c r="AG224" i="11"/>
  <c r="AG225" i="11"/>
  <c r="AG226" i="11"/>
  <c r="AG227" i="11"/>
  <c r="AG228" i="11"/>
  <c r="AG229" i="11"/>
  <c r="AG230" i="11"/>
  <c r="AG231" i="11"/>
  <c r="AG232" i="11"/>
  <c r="AG233" i="11"/>
  <c r="AG234" i="11"/>
  <c r="AG235" i="11"/>
  <c r="AG236" i="11"/>
  <c r="AG237" i="11"/>
  <c r="AG238" i="11"/>
  <c r="AG239" i="11"/>
  <c r="AG240" i="11"/>
  <c r="AG241" i="11"/>
  <c r="AG242" i="11"/>
  <c r="AG243" i="11"/>
  <c r="AG244" i="11"/>
  <c r="AG245" i="11"/>
  <c r="AG246" i="11"/>
  <c r="AG247" i="11"/>
  <c r="AG248" i="11"/>
  <c r="AG249" i="11"/>
  <c r="AG250" i="11"/>
  <c r="AG251" i="11"/>
  <c r="AG252" i="11"/>
  <c r="AG253" i="11"/>
  <c r="AG254" i="11"/>
  <c r="AG255" i="11"/>
  <c r="AG256" i="11"/>
  <c r="AG257" i="11"/>
  <c r="AG258" i="11"/>
  <c r="AG259" i="11"/>
  <c r="AG260" i="11"/>
  <c r="AG261" i="11"/>
  <c r="AG262" i="11"/>
  <c r="AG263" i="11"/>
  <c r="AG264" i="11"/>
  <c r="AG265" i="11"/>
  <c r="AG266" i="11"/>
  <c r="AG267" i="11"/>
  <c r="AG268" i="11"/>
  <c r="AG269" i="11"/>
  <c r="AG270" i="11"/>
  <c r="AG271" i="11"/>
  <c r="AG272" i="11"/>
  <c r="AG273" i="11"/>
  <c r="AG274" i="11"/>
  <c r="AG275" i="11"/>
  <c r="AG276" i="11"/>
  <c r="AG277" i="11"/>
  <c r="AG278" i="11"/>
  <c r="AG279" i="11"/>
  <c r="AG280" i="11"/>
  <c r="AG281" i="11"/>
  <c r="AG282" i="11"/>
  <c r="AG283" i="11"/>
  <c r="AG284" i="11"/>
  <c r="AG285" i="11"/>
  <c r="AG286" i="11"/>
  <c r="AG287" i="11"/>
  <c r="AG288" i="11"/>
  <c r="AG289" i="11"/>
  <c r="AG290" i="11"/>
  <c r="AG291" i="11"/>
  <c r="AG292" i="11"/>
  <c r="AG293" i="11"/>
  <c r="AG294" i="11"/>
  <c r="AG295" i="11"/>
  <c r="AG296" i="11"/>
  <c r="AG297" i="11"/>
  <c r="AG298" i="11"/>
  <c r="AG299" i="11"/>
  <c r="AG300" i="11"/>
  <c r="AG301" i="11"/>
  <c r="AG302" i="11"/>
  <c r="AG303" i="11"/>
  <c r="AG304" i="11"/>
  <c r="AG305" i="11"/>
  <c r="AG306" i="11"/>
  <c r="AG307" i="11"/>
  <c r="AG308" i="11"/>
  <c r="AG309" i="11"/>
  <c r="AG310" i="11"/>
  <c r="AG311" i="11"/>
  <c r="AG312" i="11"/>
  <c r="AG313" i="11"/>
  <c r="AG314" i="11"/>
  <c r="AG315" i="11"/>
  <c r="AG316" i="11"/>
  <c r="AG317" i="11"/>
  <c r="AG318" i="11"/>
  <c r="AG319" i="11"/>
  <c r="AG320" i="11"/>
  <c r="AG321" i="11"/>
  <c r="AG322" i="11"/>
  <c r="AG323" i="11"/>
  <c r="AG324" i="11"/>
  <c r="AG325" i="11"/>
  <c r="AG326" i="11"/>
  <c r="AG327" i="11"/>
  <c r="AG328" i="11"/>
  <c r="AG329" i="11"/>
  <c r="AG330" i="11"/>
  <c r="AG331" i="11"/>
  <c r="AG332" i="11"/>
  <c r="AG333" i="11"/>
  <c r="AG334" i="11"/>
  <c r="AG335" i="11"/>
  <c r="AG336" i="11"/>
  <c r="AG337" i="11"/>
  <c r="AG338" i="11"/>
  <c r="AG339" i="11"/>
  <c r="AG340" i="11"/>
  <c r="AG341" i="11"/>
  <c r="AG342" i="11"/>
  <c r="AG343" i="11"/>
  <c r="AG344" i="11"/>
  <c r="AG345" i="11"/>
  <c r="AG346" i="11"/>
  <c r="AG347" i="11"/>
  <c r="AG348" i="11"/>
  <c r="AG349" i="11"/>
  <c r="AG350" i="11"/>
  <c r="AG351" i="11"/>
  <c r="AG352" i="11"/>
  <c r="AG353" i="11"/>
  <c r="AG354" i="11"/>
  <c r="AG355" i="11"/>
  <c r="AG356" i="11"/>
  <c r="AG357" i="11"/>
  <c r="AG358" i="11"/>
  <c r="AG359" i="11"/>
  <c r="AG360" i="11"/>
  <c r="AG361" i="11"/>
  <c r="AG362" i="11"/>
  <c r="AG363" i="11"/>
  <c r="AG364" i="11"/>
  <c r="AG365" i="11"/>
  <c r="AG366" i="11"/>
  <c r="AG367" i="11"/>
  <c r="AG368" i="11"/>
  <c r="AG369" i="11"/>
  <c r="AG370" i="11"/>
  <c r="AG371" i="11"/>
  <c r="AG372" i="11"/>
  <c r="AG373" i="11"/>
  <c r="AG374" i="11"/>
  <c r="AG375" i="11"/>
  <c r="AG376" i="11"/>
  <c r="AG377" i="11"/>
  <c r="AG378" i="11"/>
  <c r="AG379" i="11"/>
  <c r="AG380" i="11"/>
  <c r="AG381" i="11"/>
  <c r="AG382" i="11"/>
  <c r="AG383" i="11"/>
  <c r="AG384" i="11"/>
  <c r="AG385" i="11"/>
  <c r="AG386" i="11"/>
  <c r="AG387" i="11"/>
  <c r="AG388" i="11"/>
  <c r="AG389" i="11"/>
  <c r="AG390" i="11"/>
  <c r="AG391" i="11"/>
  <c r="AG392" i="11"/>
  <c r="AG393" i="11"/>
  <c r="AG394" i="11"/>
  <c r="AG395" i="11"/>
  <c r="AG396" i="11"/>
  <c r="AG397" i="11"/>
  <c r="AG398" i="11"/>
  <c r="AG399" i="11"/>
  <c r="AG400" i="11"/>
  <c r="AG401" i="11"/>
  <c r="AG402" i="11"/>
  <c r="AG403" i="11"/>
  <c r="AG404" i="11"/>
  <c r="AG405" i="11"/>
  <c r="AG406" i="11"/>
  <c r="AG407" i="11"/>
  <c r="AG408" i="11"/>
  <c r="AG409" i="11"/>
  <c r="AG410" i="11"/>
  <c r="AG411" i="11"/>
  <c r="AG412" i="11"/>
  <c r="AG413" i="11"/>
  <c r="AG414" i="11"/>
  <c r="AG415" i="11"/>
  <c r="AG416" i="11"/>
  <c r="AG417" i="11"/>
  <c r="AG418" i="11"/>
  <c r="AG419" i="11"/>
  <c r="AG420" i="11"/>
  <c r="AG421" i="11"/>
  <c r="AG422" i="11"/>
  <c r="AG423" i="11"/>
  <c r="AG424" i="11"/>
  <c r="AG425" i="11"/>
  <c r="AG426" i="11"/>
  <c r="AG427" i="11"/>
  <c r="AG428" i="11"/>
  <c r="AG429" i="11"/>
  <c r="AG430" i="11"/>
  <c r="AG431" i="11"/>
  <c r="AG432" i="11"/>
  <c r="AG433" i="11"/>
  <c r="AG434" i="11"/>
  <c r="AG435" i="11"/>
  <c r="AG436" i="11"/>
  <c r="AG437" i="11"/>
  <c r="AG438" i="11"/>
  <c r="AG439" i="11"/>
  <c r="AG440" i="11"/>
  <c r="AG441" i="11"/>
  <c r="AG442" i="11"/>
  <c r="AG443" i="11"/>
  <c r="AG444" i="11"/>
  <c r="AG445" i="11"/>
  <c r="AG446" i="11"/>
  <c r="AG447" i="11"/>
  <c r="AG448" i="11"/>
  <c r="AG449" i="11"/>
  <c r="AG450" i="11"/>
  <c r="AG451" i="11"/>
  <c r="AG452" i="11"/>
  <c r="AG453" i="11"/>
  <c r="AG454" i="11"/>
  <c r="AG455" i="11"/>
  <c r="AG456" i="11"/>
  <c r="AG457" i="11"/>
  <c r="AG458" i="11"/>
  <c r="AG459" i="11"/>
  <c r="AG460" i="11"/>
  <c r="AG461" i="11"/>
  <c r="AG462" i="11"/>
  <c r="AG463" i="11"/>
  <c r="AG464" i="11"/>
  <c r="AG465" i="11"/>
  <c r="AG466" i="11"/>
  <c r="AG467" i="11"/>
  <c r="AG468" i="11"/>
  <c r="AG469" i="11"/>
  <c r="AG470" i="11"/>
  <c r="AG471" i="11"/>
  <c r="AG472" i="11"/>
  <c r="AG473" i="11"/>
  <c r="AG474" i="11"/>
  <c r="AG475" i="11"/>
  <c r="AG476" i="11"/>
  <c r="AG477" i="11"/>
  <c r="AG478" i="11"/>
  <c r="AG479" i="11"/>
  <c r="AG480" i="11"/>
  <c r="AG481" i="11"/>
  <c r="AG482" i="11"/>
  <c r="AG483" i="11"/>
  <c r="AG484" i="11"/>
  <c r="AG485" i="11"/>
  <c r="AG486" i="11"/>
  <c r="AG487" i="11"/>
  <c r="AG488" i="11"/>
  <c r="AG489" i="11"/>
  <c r="AG490" i="11"/>
  <c r="AG491" i="11"/>
  <c r="AG492" i="11"/>
  <c r="AG493" i="11"/>
  <c r="AG494" i="11"/>
  <c r="AG495" i="11"/>
  <c r="AG496" i="11"/>
  <c r="AG497" i="11"/>
  <c r="R53" i="11"/>
  <c r="G53" i="11"/>
  <c r="F53" i="11"/>
  <c r="C54" i="11"/>
  <c r="AC56" i="11"/>
  <c r="O53" i="11"/>
  <c r="N53" i="11"/>
  <c r="R54"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256" i="11"/>
  <c r="G257" i="11"/>
  <c r="G258" i="11"/>
  <c r="G259" i="11"/>
  <c r="G260" i="11"/>
  <c r="G261" i="11"/>
  <c r="G262" i="11"/>
  <c r="G263" i="11"/>
  <c r="G264" i="11"/>
  <c r="G265" i="11"/>
  <c r="G266" i="11"/>
  <c r="G267" i="11"/>
  <c r="G268" i="11"/>
  <c r="G269" i="11"/>
  <c r="G270" i="11"/>
  <c r="G271" i="11"/>
  <c r="G272" i="11"/>
  <c r="G273" i="11"/>
  <c r="G274" i="11"/>
  <c r="G275" i="11"/>
  <c r="G276" i="11"/>
  <c r="G277" i="11"/>
  <c r="G278" i="11"/>
  <c r="G279" i="11"/>
  <c r="G280" i="11"/>
  <c r="G281" i="11"/>
  <c r="G282" i="11"/>
  <c r="G283" i="11"/>
  <c r="G284" i="11"/>
  <c r="G285" i="11"/>
  <c r="G286" i="11"/>
  <c r="G287" i="11"/>
  <c r="G288" i="11"/>
  <c r="G289" i="11"/>
  <c r="G290" i="11"/>
  <c r="G291" i="11"/>
  <c r="G292" i="11"/>
  <c r="G293" i="11"/>
  <c r="G294" i="11"/>
  <c r="G295" i="11"/>
  <c r="G296" i="11"/>
  <c r="G297" i="11"/>
  <c r="G298" i="11"/>
  <c r="G299" i="11"/>
  <c r="G300" i="11"/>
  <c r="G301" i="11"/>
  <c r="G302" i="11"/>
  <c r="G303" i="11"/>
  <c r="G304" i="11"/>
  <c r="G305" i="11"/>
  <c r="G306" i="11"/>
  <c r="G307" i="11"/>
  <c r="G308" i="11"/>
  <c r="G309" i="11"/>
  <c r="G310" i="11"/>
  <c r="G311" i="11"/>
  <c r="G312" i="11"/>
  <c r="G313" i="11"/>
  <c r="G314" i="11"/>
  <c r="G315" i="11"/>
  <c r="G316" i="11"/>
  <c r="G317" i="11"/>
  <c r="G318" i="11"/>
  <c r="G319" i="11"/>
  <c r="G320" i="11"/>
  <c r="G321" i="11"/>
  <c r="G322" i="11"/>
  <c r="G323" i="11"/>
  <c r="G324" i="11"/>
  <c r="G325" i="11"/>
  <c r="G326" i="11"/>
  <c r="G327" i="11"/>
  <c r="G328" i="11"/>
  <c r="G329" i="11"/>
  <c r="G330" i="11"/>
  <c r="G331" i="11"/>
  <c r="G332" i="11"/>
  <c r="G333" i="11"/>
  <c r="G334" i="11"/>
  <c r="G335" i="11"/>
  <c r="G336" i="11"/>
  <c r="G337" i="11"/>
  <c r="G338" i="11"/>
  <c r="G339" i="11"/>
  <c r="G340" i="11"/>
  <c r="G341" i="11"/>
  <c r="G342" i="11"/>
  <c r="G343" i="11"/>
  <c r="G344" i="11"/>
  <c r="G345" i="11"/>
  <c r="G346" i="11"/>
  <c r="G347" i="11"/>
  <c r="G348" i="11"/>
  <c r="G349" i="11"/>
  <c r="G350" i="11"/>
  <c r="G351" i="11"/>
  <c r="G352" i="11"/>
  <c r="G353" i="11"/>
  <c r="G354" i="11"/>
  <c r="G355" i="11"/>
  <c r="G356" i="11"/>
  <c r="G357" i="11"/>
  <c r="G358" i="11"/>
  <c r="G359" i="11"/>
  <c r="G360" i="11"/>
  <c r="G361" i="11"/>
  <c r="G362" i="11"/>
  <c r="G363" i="11"/>
  <c r="G364" i="11"/>
  <c r="G365" i="11"/>
  <c r="G366" i="11"/>
  <c r="G367" i="11"/>
  <c r="G368" i="11"/>
  <c r="G369" i="11"/>
  <c r="G370" i="11"/>
  <c r="G371" i="11"/>
  <c r="G372" i="11"/>
  <c r="G373" i="11"/>
  <c r="G374" i="11"/>
  <c r="G375" i="11"/>
  <c r="G376" i="11"/>
  <c r="G377" i="11"/>
  <c r="G378" i="11"/>
  <c r="G379" i="11"/>
  <c r="G380" i="11"/>
  <c r="G381" i="11"/>
  <c r="G382" i="11"/>
  <c r="G383" i="11"/>
  <c r="G384" i="11"/>
  <c r="G385" i="11"/>
  <c r="G386" i="11"/>
  <c r="G387" i="11"/>
  <c r="G388" i="11"/>
  <c r="G389" i="11"/>
  <c r="G390" i="11"/>
  <c r="G391" i="11"/>
  <c r="G392" i="11"/>
  <c r="G393" i="11"/>
  <c r="G394" i="11"/>
  <c r="G395" i="11"/>
  <c r="G396" i="11"/>
  <c r="G397" i="11"/>
  <c r="G398" i="11"/>
  <c r="G399" i="11"/>
  <c r="G400" i="11"/>
  <c r="G401" i="11"/>
  <c r="G402" i="11"/>
  <c r="G403" i="11"/>
  <c r="G404" i="11"/>
  <c r="G405" i="11"/>
  <c r="G406" i="11"/>
  <c r="G407" i="11"/>
  <c r="G408" i="11"/>
  <c r="G409" i="11"/>
  <c r="G410" i="11"/>
  <c r="G411" i="11"/>
  <c r="G412" i="11"/>
  <c r="G413" i="11"/>
  <c r="G414" i="11"/>
  <c r="G415" i="11"/>
  <c r="G416" i="11"/>
  <c r="G417" i="11"/>
  <c r="G418" i="11"/>
  <c r="G419" i="11"/>
  <c r="G420" i="11"/>
  <c r="G421" i="11"/>
  <c r="G422" i="11"/>
  <c r="G423" i="11"/>
  <c r="G424" i="11"/>
  <c r="G425" i="11"/>
  <c r="G426" i="11"/>
  <c r="G427" i="11"/>
  <c r="G428" i="11"/>
  <c r="G429" i="11"/>
  <c r="G430" i="11"/>
  <c r="G431" i="11"/>
  <c r="G432" i="11"/>
  <c r="G433" i="11"/>
  <c r="G434" i="11"/>
  <c r="G435" i="11"/>
  <c r="G436" i="11"/>
  <c r="G437" i="11"/>
  <c r="G438" i="11"/>
  <c r="G439" i="11"/>
  <c r="G440" i="11"/>
  <c r="G441" i="11"/>
  <c r="G442" i="11"/>
  <c r="G443" i="11"/>
  <c r="G444" i="11"/>
  <c r="G445" i="11"/>
  <c r="G446" i="11"/>
  <c r="G447" i="11"/>
  <c r="G448" i="11"/>
  <c r="G449" i="11"/>
  <c r="G450" i="11"/>
  <c r="G451" i="11"/>
  <c r="G452" i="11"/>
  <c r="G453" i="11"/>
  <c r="G454" i="11"/>
  <c r="G455" i="11"/>
  <c r="G456" i="11"/>
  <c r="G457" i="11"/>
  <c r="G458" i="11"/>
  <c r="G459" i="11"/>
  <c r="G460" i="11"/>
  <c r="G461" i="11"/>
  <c r="G462" i="11"/>
  <c r="G463" i="11"/>
  <c r="G464" i="11"/>
  <c r="G465" i="11"/>
  <c r="G466" i="11"/>
  <c r="G467" i="11"/>
  <c r="G468" i="11"/>
  <c r="G469" i="11"/>
  <c r="G470" i="11"/>
  <c r="G471" i="11"/>
  <c r="G472" i="11"/>
  <c r="G473" i="11"/>
  <c r="G474" i="11"/>
  <c r="G475" i="11"/>
  <c r="G476" i="11"/>
  <c r="G477" i="11"/>
  <c r="G478" i="11"/>
  <c r="G479" i="11"/>
  <c r="G480" i="11"/>
  <c r="G481" i="11"/>
  <c r="G482" i="11"/>
  <c r="G483" i="11"/>
  <c r="G484" i="11"/>
  <c r="G485" i="11"/>
  <c r="G486" i="11"/>
  <c r="G487" i="11"/>
  <c r="G488" i="11"/>
  <c r="G489" i="11"/>
  <c r="G490" i="11"/>
  <c r="G491" i="11"/>
  <c r="G492" i="11"/>
  <c r="G493" i="11"/>
  <c r="G494" i="11"/>
  <c r="G495" i="11"/>
  <c r="G496" i="11"/>
  <c r="G497" i="11"/>
  <c r="F54" i="11"/>
  <c r="B54" i="11"/>
  <c r="C55" i="11"/>
  <c r="AC57" i="11"/>
  <c r="O54" i="11"/>
  <c r="N54" i="11" s="1"/>
  <c r="R55" i="11"/>
  <c r="F55" i="11"/>
  <c r="C56" i="11"/>
  <c r="AC58" i="11"/>
  <c r="O55" i="11"/>
  <c r="N55" i="11" s="1"/>
  <c r="R56" i="11"/>
  <c r="F56" i="11"/>
  <c r="C57" i="11"/>
  <c r="AC59" i="11"/>
  <c r="R57" i="11"/>
  <c r="F57" i="11"/>
  <c r="C58" i="11"/>
  <c r="AC60" i="11"/>
  <c r="O57" i="11"/>
  <c r="N57" i="11"/>
  <c r="R58" i="11"/>
  <c r="F58" i="11"/>
  <c r="C59" i="11"/>
  <c r="AC61" i="11"/>
  <c r="R59" i="11"/>
  <c r="F59" i="11"/>
  <c r="C60" i="11"/>
  <c r="AC62" i="11"/>
  <c r="O59" i="11"/>
  <c r="N59" i="11" s="1"/>
  <c r="R60" i="11"/>
  <c r="F60" i="11"/>
  <c r="C61" i="11"/>
  <c r="AC63" i="11"/>
  <c r="O60" i="11"/>
  <c r="N60" i="11"/>
  <c r="R61" i="11"/>
  <c r="F61" i="11"/>
  <c r="C62" i="11"/>
  <c r="AC64" i="11"/>
  <c r="O61" i="11"/>
  <c r="N61" i="11"/>
  <c r="R62" i="11"/>
  <c r="F62" i="11"/>
  <c r="C63" i="11"/>
  <c r="AC65" i="11"/>
  <c r="O62" i="11"/>
  <c r="N62" i="11" s="1"/>
  <c r="R63" i="11"/>
  <c r="F63" i="11"/>
  <c r="C64" i="11"/>
  <c r="AC66" i="11"/>
  <c r="O63" i="11"/>
  <c r="N63" i="11" s="1"/>
  <c r="R64" i="11"/>
  <c r="F64" i="11"/>
  <c r="C65" i="11"/>
  <c r="AC67" i="11"/>
  <c r="O64" i="11"/>
  <c r="N64" i="11" s="1"/>
  <c r="R65" i="11"/>
  <c r="F65" i="11"/>
  <c r="C66" i="11"/>
  <c r="AC68" i="11"/>
  <c r="O65" i="11"/>
  <c r="N65" i="11" s="1"/>
  <c r="R66" i="11"/>
  <c r="F66" i="11"/>
  <c r="C67" i="11"/>
  <c r="B66" i="11"/>
  <c r="AC69" i="11"/>
  <c r="O66" i="11"/>
  <c r="N66" i="11" s="1"/>
  <c r="R67" i="11"/>
  <c r="F67" i="11"/>
  <c r="C68" i="11"/>
  <c r="AC70" i="11"/>
  <c r="O67" i="11"/>
  <c r="N67" i="11" s="1"/>
  <c r="R68" i="11"/>
  <c r="F68" i="11"/>
  <c r="C69" i="11"/>
  <c r="AC71" i="11"/>
  <c r="O68" i="11"/>
  <c r="N68" i="11" s="1"/>
  <c r="R69" i="11"/>
  <c r="F69" i="11"/>
  <c r="C70" i="11"/>
  <c r="AC72" i="11"/>
  <c r="O69" i="11"/>
  <c r="N69" i="11" s="1"/>
  <c r="R70" i="11"/>
  <c r="F70" i="11"/>
  <c r="C71" i="11"/>
  <c r="AC73" i="11"/>
  <c r="O70" i="11"/>
  <c r="N70" i="11" s="1"/>
  <c r="R71" i="11"/>
  <c r="F71" i="11"/>
  <c r="C72" i="11"/>
  <c r="AC74" i="11"/>
  <c r="O71" i="11"/>
  <c r="N71" i="11" s="1"/>
  <c r="R72" i="11"/>
  <c r="F72" i="11"/>
  <c r="C73" i="11"/>
  <c r="AC75" i="11"/>
  <c r="O72" i="11"/>
  <c r="N72" i="11" s="1"/>
  <c r="R73" i="11"/>
  <c r="F73" i="11"/>
  <c r="C74" i="11"/>
  <c r="AC76" i="11"/>
  <c r="O73" i="11"/>
  <c r="N73" i="11"/>
  <c r="R74" i="11"/>
  <c r="F74" i="11"/>
  <c r="C75" i="11"/>
  <c r="AC77" i="11"/>
  <c r="O74" i="11"/>
  <c r="N74" i="11" s="1"/>
  <c r="R75" i="11"/>
  <c r="F75" i="11"/>
  <c r="C76" i="11"/>
  <c r="AC78" i="11"/>
  <c r="O75" i="11"/>
  <c r="N75" i="11" s="1"/>
  <c r="R76" i="11"/>
  <c r="F76" i="11"/>
  <c r="C77" i="11"/>
  <c r="AC79" i="11"/>
  <c r="O76" i="11"/>
  <c r="N76" i="11" s="1"/>
  <c r="R77" i="11"/>
  <c r="F77" i="11"/>
  <c r="C78" i="11"/>
  <c r="AC80" i="11"/>
  <c r="O77" i="11"/>
  <c r="N77" i="11" s="1"/>
  <c r="R78" i="11"/>
  <c r="F78" i="11"/>
  <c r="B78" i="11"/>
  <c r="C79" i="11"/>
  <c r="AC81" i="11"/>
  <c r="O78" i="11"/>
  <c r="N78" i="11" s="1"/>
  <c r="R79" i="11"/>
  <c r="F79" i="11"/>
  <c r="C80" i="11"/>
  <c r="AC82" i="11"/>
  <c r="O79" i="11"/>
  <c r="N79" i="11" s="1"/>
  <c r="R80" i="11"/>
  <c r="F80" i="11"/>
  <c r="C81" i="11"/>
  <c r="AC83" i="11"/>
  <c r="O80" i="11"/>
  <c r="N80" i="11" s="1"/>
  <c r="R81" i="11"/>
  <c r="F81" i="11"/>
  <c r="C82" i="11"/>
  <c r="AC84" i="11"/>
  <c r="O81" i="11"/>
  <c r="N81" i="11" s="1"/>
  <c r="R82" i="11"/>
  <c r="F82" i="11"/>
  <c r="C83" i="11"/>
  <c r="AC85" i="11"/>
  <c r="O82" i="11"/>
  <c r="N82" i="11" s="1"/>
  <c r="R83" i="11"/>
  <c r="F83" i="11"/>
  <c r="C84" i="11"/>
  <c r="AC86" i="11"/>
  <c r="O83" i="11"/>
  <c r="N83" i="11" s="1"/>
  <c r="R84" i="11"/>
  <c r="F84" i="11"/>
  <c r="C85" i="11"/>
  <c r="AC87" i="11"/>
  <c r="O84" i="11"/>
  <c r="N84" i="11" s="1"/>
  <c r="R85" i="11"/>
  <c r="F85" i="11"/>
  <c r="C86" i="11"/>
  <c r="AC88" i="11"/>
  <c r="O85" i="11"/>
  <c r="N85" i="11" s="1"/>
  <c r="R86" i="11"/>
  <c r="F86" i="11"/>
  <c r="C87" i="11"/>
  <c r="AC89" i="11"/>
  <c r="O86" i="11"/>
  <c r="N86" i="11" s="1"/>
  <c r="R87" i="11"/>
  <c r="F87" i="11"/>
  <c r="C88" i="11"/>
  <c r="AC90" i="11"/>
  <c r="O87" i="11"/>
  <c r="N87" i="11"/>
  <c r="R88" i="11"/>
  <c r="F88" i="11"/>
  <c r="C89" i="11"/>
  <c r="AC91" i="11"/>
  <c r="O88" i="11"/>
  <c r="N88" i="11" s="1"/>
  <c r="R89" i="11"/>
  <c r="F89" i="11"/>
  <c r="C90" i="11"/>
  <c r="AC92" i="11"/>
  <c r="O89" i="11"/>
  <c r="N89" i="11" s="1"/>
  <c r="R90" i="11"/>
  <c r="F90" i="11"/>
  <c r="B90" i="11"/>
  <c r="C91" i="11"/>
  <c r="AC93" i="11"/>
  <c r="O90" i="11"/>
  <c r="N90" i="11" s="1"/>
  <c r="R91" i="11"/>
  <c r="F91" i="11"/>
  <c r="C92" i="11"/>
  <c r="AC94" i="11"/>
  <c r="O91" i="11"/>
  <c r="N91" i="11" s="1"/>
  <c r="R92" i="11"/>
  <c r="F92" i="11"/>
  <c r="C93" i="11"/>
  <c r="AC95" i="11"/>
  <c r="O92" i="11"/>
  <c r="N92" i="11" s="1"/>
  <c r="R93" i="11"/>
  <c r="F93" i="11"/>
  <c r="C94" i="11"/>
  <c r="AC96" i="11"/>
  <c r="O93" i="11"/>
  <c r="N93" i="11" s="1"/>
  <c r="R94" i="11"/>
  <c r="F94" i="11"/>
  <c r="C95" i="11"/>
  <c r="AC97" i="11"/>
  <c r="O94" i="11"/>
  <c r="N94" i="11" s="1"/>
  <c r="R95" i="11"/>
  <c r="F95" i="11"/>
  <c r="C96" i="11"/>
  <c r="AC98" i="11"/>
  <c r="O95" i="11"/>
  <c r="N95" i="11" s="1"/>
  <c r="R96" i="11"/>
  <c r="F96" i="11"/>
  <c r="C97" i="11"/>
  <c r="AC99" i="11"/>
  <c r="O96" i="11"/>
  <c r="N96" i="11" s="1"/>
  <c r="R97" i="11"/>
  <c r="F97" i="11"/>
  <c r="C98" i="11"/>
  <c r="AC100" i="11"/>
  <c r="O97" i="11"/>
  <c r="N97" i="11"/>
  <c r="R98" i="11"/>
  <c r="F98" i="11"/>
  <c r="C99" i="11"/>
  <c r="AC101" i="11"/>
  <c r="O98" i="11"/>
  <c r="N98" i="11" s="1"/>
  <c r="R99" i="11"/>
  <c r="F99" i="11"/>
  <c r="C100" i="11"/>
  <c r="AC102" i="11"/>
  <c r="O99" i="11"/>
  <c r="N99" i="11" s="1"/>
  <c r="R100" i="11"/>
  <c r="F100" i="11"/>
  <c r="C101" i="11"/>
  <c r="AC103" i="11"/>
  <c r="O100" i="11"/>
  <c r="N100" i="11"/>
  <c r="R101" i="11"/>
  <c r="F101" i="11"/>
  <c r="C102" i="11"/>
  <c r="AC104" i="11"/>
  <c r="O101" i="11"/>
  <c r="N101" i="11" s="1"/>
  <c r="R102" i="11"/>
  <c r="F102" i="11"/>
  <c r="B102" i="11"/>
  <c r="C103" i="11"/>
  <c r="AC105" i="11"/>
  <c r="O102" i="11"/>
  <c r="N102" i="11"/>
  <c r="R103" i="11"/>
  <c r="F103" i="11"/>
  <c r="C104" i="11"/>
  <c r="AC106" i="11"/>
  <c r="O103" i="11"/>
  <c r="N103" i="11" s="1"/>
  <c r="R104" i="11"/>
  <c r="F104" i="11"/>
  <c r="C105" i="11"/>
  <c r="AC107" i="11"/>
  <c r="O104" i="11"/>
  <c r="N104" i="11" s="1"/>
  <c r="R105" i="11"/>
  <c r="F105" i="11"/>
  <c r="C106" i="11"/>
  <c r="AC108" i="11"/>
  <c r="O105" i="11"/>
  <c r="N105" i="11"/>
  <c r="R106" i="11"/>
  <c r="F106" i="11"/>
  <c r="C107" i="11"/>
  <c r="AC109" i="11"/>
  <c r="O106" i="11"/>
  <c r="N106" i="11"/>
  <c r="R107" i="11"/>
  <c r="F107" i="11"/>
  <c r="C108" i="11"/>
  <c r="AC110" i="11"/>
  <c r="O107" i="11"/>
  <c r="N107" i="11" s="1"/>
  <c r="R108" i="11"/>
  <c r="F108" i="11"/>
  <c r="C109" i="11"/>
  <c r="AC111" i="11"/>
  <c r="O108" i="11"/>
  <c r="N108" i="11" s="1"/>
  <c r="R109" i="11"/>
  <c r="F109" i="11"/>
  <c r="C110" i="11"/>
  <c r="AC112" i="11"/>
  <c r="O109" i="11"/>
  <c r="N109" i="11"/>
  <c r="R110" i="11"/>
  <c r="F110" i="11"/>
  <c r="C111" i="11"/>
  <c r="AC113" i="11"/>
  <c r="O110" i="11"/>
  <c r="N110" i="11"/>
  <c r="R111" i="11"/>
  <c r="F111" i="11"/>
  <c r="C112" i="11"/>
  <c r="AC114" i="11"/>
  <c r="O111" i="11"/>
  <c r="N111" i="11"/>
  <c r="R112" i="11"/>
  <c r="F112" i="11"/>
  <c r="C113" i="11"/>
  <c r="AC115" i="11"/>
  <c r="O112" i="11"/>
  <c r="N112" i="11"/>
  <c r="R113" i="11"/>
  <c r="F113" i="11"/>
  <c r="C114" i="11"/>
  <c r="AC116" i="11"/>
  <c r="O113" i="11"/>
  <c r="N113" i="11"/>
  <c r="R114" i="11"/>
  <c r="F114" i="11"/>
  <c r="C115" i="11"/>
  <c r="B114" i="11"/>
  <c r="AC117" i="11"/>
  <c r="O114" i="11"/>
  <c r="N114" i="11" s="1"/>
  <c r="R115" i="11"/>
  <c r="F115" i="11"/>
  <c r="C116" i="11"/>
  <c r="AC118" i="11"/>
  <c r="O115" i="11"/>
  <c r="N115" i="11"/>
  <c r="R116" i="11"/>
  <c r="F116" i="11"/>
  <c r="C117" i="11"/>
  <c r="AC119" i="11"/>
  <c r="O116" i="11"/>
  <c r="N116" i="11"/>
  <c r="R117" i="11"/>
  <c r="F117" i="11"/>
  <c r="C118" i="11"/>
  <c r="AC120" i="11"/>
  <c r="O117" i="11"/>
  <c r="N117" i="11"/>
  <c r="R118" i="11"/>
  <c r="F118" i="11"/>
  <c r="C119" i="11"/>
  <c r="AC121" i="11"/>
  <c r="O118" i="11"/>
  <c r="N118" i="11"/>
  <c r="R119" i="11"/>
  <c r="F119" i="11"/>
  <c r="C120" i="11"/>
  <c r="AC122" i="11"/>
  <c r="O119" i="11"/>
  <c r="N119" i="11" s="1"/>
  <c r="R120" i="11"/>
  <c r="F120" i="11"/>
  <c r="C121" i="11"/>
  <c r="AC123" i="11"/>
  <c r="O120" i="11"/>
  <c r="N120" i="11" s="1"/>
  <c r="R121" i="11"/>
  <c r="F121" i="11"/>
  <c r="C122" i="11"/>
  <c r="AC124" i="11"/>
  <c r="O121" i="11"/>
  <c r="N121" i="11"/>
  <c r="R122" i="11"/>
  <c r="F122" i="11"/>
  <c r="C123" i="11"/>
  <c r="AC125" i="11"/>
  <c r="O122" i="11"/>
  <c r="N122" i="11"/>
  <c r="R123" i="11"/>
  <c r="F123" i="11"/>
  <c r="C124" i="11"/>
  <c r="AC126" i="11"/>
  <c r="O123" i="11"/>
  <c r="N123" i="11"/>
  <c r="R124" i="11"/>
  <c r="F124" i="11"/>
  <c r="C125" i="11"/>
  <c r="AC127" i="11"/>
  <c r="O124" i="11"/>
  <c r="N124" i="11" s="1"/>
  <c r="R125" i="11"/>
  <c r="F125" i="11"/>
  <c r="C126" i="11"/>
  <c r="AC128" i="11"/>
  <c r="O125" i="11"/>
  <c r="N125" i="11" s="1"/>
  <c r="R126" i="11"/>
  <c r="F126" i="11"/>
  <c r="B126" i="11"/>
  <c r="C127" i="11"/>
  <c r="AC129" i="11"/>
  <c r="O126" i="11"/>
  <c r="N126" i="11" s="1"/>
  <c r="R127" i="11"/>
  <c r="F127" i="11"/>
  <c r="C128" i="11"/>
  <c r="AC130" i="11"/>
  <c r="O127" i="11"/>
  <c r="N127" i="11" s="1"/>
  <c r="R128" i="11"/>
  <c r="F128" i="11"/>
  <c r="C129" i="11"/>
  <c r="AC131" i="11"/>
  <c r="O128" i="11"/>
  <c r="N128" i="11"/>
  <c r="R129" i="11"/>
  <c r="F129" i="11"/>
  <c r="C130" i="11"/>
  <c r="AC132" i="11"/>
  <c r="O129" i="11"/>
  <c r="N129" i="11" s="1"/>
  <c r="R130" i="11"/>
  <c r="F130" i="11"/>
  <c r="C131" i="11"/>
  <c r="AC133" i="11"/>
  <c r="O130" i="11"/>
  <c r="N130" i="11" s="1"/>
  <c r="R131" i="11"/>
  <c r="F131" i="11"/>
  <c r="C132" i="11"/>
  <c r="AC134" i="11"/>
  <c r="O131" i="11"/>
  <c r="N131" i="11" s="1"/>
  <c r="R132" i="11"/>
  <c r="F132" i="11"/>
  <c r="C133" i="11"/>
  <c r="AC135" i="11"/>
  <c r="O132" i="11"/>
  <c r="N132" i="11" s="1"/>
  <c r="R133" i="11"/>
  <c r="F133" i="11"/>
  <c r="C134" i="11"/>
  <c r="AC136" i="11"/>
  <c r="O133" i="11"/>
  <c r="N133" i="11" s="1"/>
  <c r="R134" i="11"/>
  <c r="F134" i="11"/>
  <c r="C135" i="11"/>
  <c r="AC137" i="11"/>
  <c r="O134" i="11"/>
  <c r="N134" i="11"/>
  <c r="R135" i="11"/>
  <c r="F135" i="11"/>
  <c r="C136" i="11"/>
  <c r="AC138" i="11"/>
  <c r="O135" i="11"/>
  <c r="N135" i="11"/>
  <c r="R136" i="11"/>
  <c r="F136" i="11"/>
  <c r="C137" i="11"/>
  <c r="AC139" i="11"/>
  <c r="O136" i="11"/>
  <c r="N136" i="11"/>
  <c r="R137"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C138" i="11"/>
  <c r="AC140" i="11"/>
  <c r="O137" i="11"/>
  <c r="N137" i="11" s="1"/>
  <c r="R138" i="11"/>
  <c r="C139" i="11"/>
  <c r="C140" i="11"/>
  <c r="C141" i="11"/>
  <c r="C142" i="11"/>
  <c r="C143" i="11"/>
  <c r="C144" i="11"/>
  <c r="C145" i="11"/>
  <c r="C146" i="11"/>
  <c r="C147" i="11"/>
  <c r="C148" i="11"/>
  <c r="C149" i="11"/>
  <c r="B138" i="11"/>
  <c r="AC141" i="11"/>
  <c r="O138" i="11"/>
  <c r="N138" i="11" s="1"/>
  <c r="R139" i="11"/>
  <c r="AC142" i="11"/>
  <c r="C150" i="11"/>
  <c r="O139" i="11"/>
  <c r="N139" i="11" s="1"/>
  <c r="R140" i="11"/>
  <c r="AC143" i="11"/>
  <c r="C151" i="11"/>
  <c r="B150" i="11"/>
  <c r="O140" i="11"/>
  <c r="N140" i="11" s="1"/>
  <c r="R141" i="11"/>
  <c r="AC144" i="11"/>
  <c r="C152" i="11"/>
  <c r="O141" i="11"/>
  <c r="N141" i="11"/>
  <c r="R142" i="11"/>
  <c r="AC145" i="11"/>
  <c r="C153" i="11"/>
  <c r="O142" i="11"/>
  <c r="N142" i="11" s="1"/>
  <c r="R143" i="11"/>
  <c r="AC146" i="11"/>
  <c r="C154" i="11"/>
  <c r="O143" i="11"/>
  <c r="N143" i="11" s="1"/>
  <c r="R144" i="11"/>
  <c r="AC147" i="11"/>
  <c r="C155" i="11"/>
  <c r="O144" i="11"/>
  <c r="N144" i="11"/>
  <c r="R145" i="11"/>
  <c r="AC148" i="11"/>
  <c r="C156" i="11"/>
  <c r="O145" i="11"/>
  <c r="N145" i="11" s="1"/>
  <c r="R146" i="11"/>
  <c r="AC149" i="11"/>
  <c r="C157" i="11"/>
  <c r="O146" i="11"/>
  <c r="N146" i="11"/>
  <c r="R147" i="11"/>
  <c r="AC150" i="11"/>
  <c r="C158" i="11"/>
  <c r="O147" i="11"/>
  <c r="N147" i="11" s="1"/>
  <c r="R148" i="11"/>
  <c r="AC151" i="11"/>
  <c r="C159" i="11"/>
  <c r="O148" i="11"/>
  <c r="N148" i="11"/>
  <c r="R149" i="11"/>
  <c r="AC152" i="11"/>
  <c r="C160" i="11"/>
  <c r="O149" i="11"/>
  <c r="N149" i="11"/>
  <c r="R150" i="11"/>
  <c r="AC153" i="11"/>
  <c r="C161" i="11"/>
  <c r="O150" i="11"/>
  <c r="N150" i="11" s="1"/>
  <c r="R151" i="11"/>
  <c r="AC154" i="11"/>
  <c r="C162" i="11"/>
  <c r="O151" i="11"/>
  <c r="N151" i="11" s="1"/>
  <c r="R152" i="11"/>
  <c r="AC155" i="11"/>
  <c r="C163" i="11"/>
  <c r="B162" i="11"/>
  <c r="O152" i="11"/>
  <c r="R153" i="11"/>
  <c r="AC156" i="11"/>
  <c r="C164" i="11"/>
  <c r="O153" i="11"/>
  <c r="N153" i="11" s="1"/>
  <c r="N152" i="11"/>
  <c r="R154" i="11"/>
  <c r="AC157" i="11"/>
  <c r="C165" i="11"/>
  <c r="R155" i="11"/>
  <c r="O154" i="11"/>
  <c r="AC158" i="11"/>
  <c r="C166" i="11"/>
  <c r="O155" i="11"/>
  <c r="N155" i="11" s="1"/>
  <c r="N154" i="11"/>
  <c r="R156" i="11"/>
  <c r="AC159" i="11"/>
  <c r="C167" i="11"/>
  <c r="O156" i="11"/>
  <c r="N156" i="11" s="1"/>
  <c r="R157" i="11"/>
  <c r="AC160" i="11"/>
  <c r="C168" i="11"/>
  <c r="R158" i="11"/>
  <c r="O157" i="11"/>
  <c r="N157" i="11" s="1"/>
  <c r="AC161" i="11"/>
  <c r="C169" i="11"/>
  <c r="O158" i="11"/>
  <c r="N158" i="11" s="1"/>
  <c r="R159" i="11"/>
  <c r="AC162" i="11"/>
  <c r="C170" i="11"/>
  <c r="R160" i="11"/>
  <c r="O159" i="11"/>
  <c r="N159" i="11" s="1"/>
  <c r="AC163" i="11"/>
  <c r="C171" i="11"/>
  <c r="O160" i="11"/>
  <c r="N160" i="11" s="1"/>
  <c r="R161" i="11"/>
  <c r="AC164" i="11"/>
  <c r="C172" i="11"/>
  <c r="R162" i="11"/>
  <c r="O161" i="11"/>
  <c r="N161" i="11" s="1"/>
  <c r="AC165" i="11"/>
  <c r="C173" i="11"/>
  <c r="O162" i="11"/>
  <c r="N162" i="11" s="1"/>
  <c r="R163" i="11"/>
  <c r="AC166" i="11"/>
  <c r="C174" i="11"/>
  <c r="O163" i="11"/>
  <c r="N163" i="11" s="1"/>
  <c r="R164" i="11"/>
  <c r="AC167" i="11"/>
  <c r="C175" i="11"/>
  <c r="B174" i="11"/>
  <c r="R165" i="11"/>
  <c r="O164" i="11"/>
  <c r="N164" i="11" s="1"/>
  <c r="AC168" i="11"/>
  <c r="C176" i="11"/>
  <c r="O165" i="11"/>
  <c r="N165" i="11" s="1"/>
  <c r="R166" i="11"/>
  <c r="AC169" i="11"/>
  <c r="C177" i="11"/>
  <c r="R167" i="11"/>
  <c r="O166" i="11"/>
  <c r="AC170" i="11"/>
  <c r="C178" i="11"/>
  <c r="O167" i="11"/>
  <c r="N167" i="11" s="1"/>
  <c r="N166" i="11"/>
  <c r="R168" i="11"/>
  <c r="AC171" i="11"/>
  <c r="C179" i="11"/>
  <c r="O168" i="11"/>
  <c r="R169" i="11"/>
  <c r="AC172" i="11"/>
  <c r="C180" i="11"/>
  <c r="O169" i="11"/>
  <c r="N168" i="11"/>
  <c r="R170" i="11"/>
  <c r="AC173" i="11"/>
  <c r="C181" i="11"/>
  <c r="R171" i="11"/>
  <c r="AC174" i="11"/>
  <c r="C182" i="11"/>
  <c r="R172" i="11"/>
  <c r="AC175" i="11"/>
  <c r="C183" i="11"/>
  <c r="R173" i="11"/>
  <c r="AC176" i="11"/>
  <c r="C184" i="11"/>
  <c r="R174" i="11"/>
  <c r="AC177" i="11"/>
  <c r="C185" i="11"/>
  <c r="R175" i="11"/>
  <c r="AC178" i="11"/>
  <c r="C186" i="11"/>
  <c r="R176" i="11"/>
  <c r="AC179" i="11"/>
  <c r="C187" i="11"/>
  <c r="B186" i="11"/>
  <c r="R177" i="11"/>
  <c r="AC180" i="11"/>
  <c r="C188" i="11"/>
  <c r="R178" i="11"/>
  <c r="AC181" i="11"/>
  <c r="C189" i="11"/>
  <c r="R179" i="11"/>
  <c r="AC182" i="11"/>
  <c r="C190" i="11"/>
  <c r="R180" i="11"/>
  <c r="AC183" i="11"/>
  <c r="C191" i="11"/>
  <c r="R181" i="11"/>
  <c r="AC184" i="11"/>
  <c r="C192" i="11"/>
  <c r="R182" i="11"/>
  <c r="AC185" i="11"/>
  <c r="C193" i="11"/>
  <c r="R183" i="11"/>
  <c r="AC186" i="11"/>
  <c r="C194" i="11"/>
  <c r="R184" i="11"/>
  <c r="AC187" i="11"/>
  <c r="C195" i="11"/>
  <c r="R185" i="11"/>
  <c r="AC188" i="11"/>
  <c r="C196" i="11"/>
  <c r="R186" i="11"/>
  <c r="AC189" i="11"/>
  <c r="C197" i="11"/>
  <c r="R187" i="11"/>
  <c r="AC190" i="11"/>
  <c r="C198" i="11"/>
  <c r="R188" i="11"/>
  <c r="AC191" i="11"/>
  <c r="C199" i="11"/>
  <c r="B198" i="11"/>
  <c r="R189" i="11"/>
  <c r="AC192" i="11"/>
  <c r="C200" i="11"/>
  <c r="R190" i="11"/>
  <c r="AC193" i="11"/>
  <c r="C201" i="11"/>
  <c r="R191" i="11"/>
  <c r="AC194" i="11"/>
  <c r="C202" i="11"/>
  <c r="R192" i="11"/>
  <c r="AC195" i="11"/>
  <c r="C203" i="11"/>
  <c r="R193" i="11"/>
  <c r="AC196" i="11"/>
  <c r="C204" i="11"/>
  <c r="R194" i="11"/>
  <c r="AC197" i="11"/>
  <c r="C205" i="11"/>
  <c r="R195" i="11"/>
  <c r="R196" i="11"/>
  <c r="R197" i="11"/>
  <c r="R198" i="11"/>
  <c r="R199" i="11"/>
  <c r="R200" i="11"/>
  <c r="R201" i="11"/>
  <c r="R202" i="11"/>
  <c r="R203" i="11"/>
  <c r="R204" i="11"/>
  <c r="AC198" i="11"/>
  <c r="C206" i="11"/>
  <c r="AC199" i="11"/>
  <c r="C207" i="11"/>
  <c r="AC200" i="11"/>
  <c r="C208" i="11"/>
  <c r="AC201" i="11"/>
  <c r="C209" i="11"/>
  <c r="AC202" i="11"/>
  <c r="C210" i="11"/>
  <c r="AC203" i="11"/>
  <c r="C211" i="11"/>
  <c r="B210" i="11"/>
  <c r="AC204" i="11"/>
  <c r="C212" i="11"/>
  <c r="AC205" i="11"/>
  <c r="C213" i="11"/>
  <c r="AC206" i="11"/>
  <c r="C214" i="11"/>
  <c r="AC207" i="11"/>
  <c r="C215" i="11"/>
  <c r="R205" i="11"/>
  <c r="AC208" i="11"/>
  <c r="C216" i="11"/>
  <c r="R206" i="11"/>
  <c r="AC209" i="11"/>
  <c r="C217" i="11"/>
  <c r="R207" i="11"/>
  <c r="AC210" i="11"/>
  <c r="C218" i="11"/>
  <c r="R208" i="11"/>
  <c r="AC211" i="11"/>
  <c r="C219" i="11"/>
  <c r="R209" i="11"/>
  <c r="AC212" i="11"/>
  <c r="C220" i="11"/>
  <c r="R210" i="11"/>
  <c r="AC213" i="11"/>
  <c r="C221" i="11"/>
  <c r="R211" i="11"/>
  <c r="AC214" i="11"/>
  <c r="C222" i="11"/>
  <c r="R212" i="11"/>
  <c r="AC215" i="11"/>
  <c r="C223" i="11"/>
  <c r="B222" i="11"/>
  <c r="R213" i="11"/>
  <c r="AC216" i="11"/>
  <c r="C224" i="11"/>
  <c r="R214" i="11"/>
  <c r="AC217" i="11"/>
  <c r="C225" i="11"/>
  <c r="R215" i="11"/>
  <c r="AC218" i="11"/>
  <c r="C226" i="11"/>
  <c r="R216" i="11"/>
  <c r="AC219" i="11"/>
  <c r="C227" i="11"/>
  <c r="R217" i="11"/>
  <c r="AC220" i="11"/>
  <c r="C228" i="11"/>
  <c r="R218" i="11"/>
  <c r="AC221" i="11"/>
  <c r="C229" i="11"/>
  <c r="R219" i="11"/>
  <c r="AC222" i="11"/>
  <c r="C230" i="11"/>
  <c r="R220" i="11"/>
  <c r="AC223" i="11"/>
  <c r="C231" i="11"/>
  <c r="R221" i="11"/>
  <c r="AC224" i="11"/>
  <c r="C232" i="11"/>
  <c r="R222" i="11"/>
  <c r="AC225" i="11"/>
  <c r="C233" i="11"/>
  <c r="R223" i="11"/>
  <c r="AC226" i="11"/>
  <c r="C234" i="11"/>
  <c r="R224" i="11"/>
  <c r="AC227" i="11"/>
  <c r="B234" i="11"/>
  <c r="C235" i="11"/>
  <c r="R225" i="11"/>
  <c r="AC228" i="11"/>
  <c r="C236" i="11"/>
  <c r="R226" i="11"/>
  <c r="AC229" i="11"/>
  <c r="C237" i="11"/>
  <c r="R227" i="11"/>
  <c r="AC230" i="11"/>
  <c r="C238" i="11"/>
  <c r="R228" i="11"/>
  <c r="AC231" i="11"/>
  <c r="C239" i="11"/>
  <c r="R229" i="11"/>
  <c r="AC232" i="11"/>
  <c r="C240" i="11"/>
  <c r="R230" i="11"/>
  <c r="AC233" i="11"/>
  <c r="C241" i="11"/>
  <c r="R231" i="11"/>
  <c r="AC234" i="11"/>
  <c r="C242" i="11"/>
  <c r="R232" i="11"/>
  <c r="AC235" i="11"/>
  <c r="C243" i="11"/>
  <c r="R233" i="11"/>
  <c r="AC236" i="11"/>
  <c r="C244" i="11"/>
  <c r="R234" i="11"/>
  <c r="AC237" i="11"/>
  <c r="C245" i="11"/>
  <c r="R235" i="11"/>
  <c r="AC238" i="11"/>
  <c r="C246" i="11"/>
  <c r="R236" i="11"/>
  <c r="AC239" i="11"/>
  <c r="C247" i="11"/>
  <c r="B246" i="11"/>
  <c r="R237" i="11"/>
  <c r="AC240" i="11"/>
  <c r="C248" i="11"/>
  <c r="R238" i="11"/>
  <c r="AC241" i="11"/>
  <c r="C249" i="11"/>
  <c r="R239" i="11"/>
  <c r="AC242" i="11"/>
  <c r="C250" i="11"/>
  <c r="R240" i="11"/>
  <c r="AC243" i="11"/>
  <c r="C251" i="11"/>
  <c r="R241" i="11"/>
  <c r="AC244" i="11"/>
  <c r="C252" i="11"/>
  <c r="R242" i="11"/>
  <c r="AC245" i="11"/>
  <c r="C253" i="11"/>
  <c r="R243" i="11"/>
  <c r="AC246" i="11"/>
  <c r="C254" i="11"/>
  <c r="R244" i="11"/>
  <c r="AC247" i="11"/>
  <c r="C255" i="11"/>
  <c r="R245" i="11"/>
  <c r="AC248" i="11"/>
  <c r="C256" i="11"/>
  <c r="R246" i="11"/>
  <c r="AC249" i="11"/>
  <c r="C257" i="11"/>
  <c r="R247" i="11"/>
  <c r="AC250" i="11"/>
  <c r="C258" i="11"/>
  <c r="R248" i="11"/>
  <c r="AC251" i="11"/>
  <c r="B258" i="11"/>
  <c r="C259" i="11"/>
  <c r="R249" i="11"/>
  <c r="AC252" i="11"/>
  <c r="C260" i="11"/>
  <c r="R250" i="11"/>
  <c r="AC253" i="11"/>
  <c r="C261" i="11"/>
  <c r="R251" i="11"/>
  <c r="AC254" i="11"/>
  <c r="C262" i="11"/>
  <c r="R252" i="11"/>
  <c r="AC255" i="11"/>
  <c r="C263" i="11"/>
  <c r="R253" i="11"/>
  <c r="AC256" i="11"/>
  <c r="C264" i="11"/>
  <c r="R254" i="11"/>
  <c r="AC257" i="11"/>
  <c r="C265" i="11"/>
  <c r="R255" i="11"/>
  <c r="AC258" i="11"/>
  <c r="C266" i="11"/>
  <c r="R256" i="11"/>
  <c r="AC259" i="11"/>
  <c r="C267" i="11"/>
  <c r="R257" i="11"/>
  <c r="AC260" i="11"/>
  <c r="C268" i="11"/>
  <c r="R258" i="11"/>
  <c r="AC261" i="11"/>
  <c r="C269" i="11"/>
  <c r="R259" i="11"/>
  <c r="AC262" i="11"/>
  <c r="C270" i="11"/>
  <c r="R260" i="11"/>
  <c r="AC263" i="11"/>
  <c r="C271" i="11"/>
  <c r="B270" i="11"/>
  <c r="R261" i="11"/>
  <c r="AC264" i="11"/>
  <c r="C272" i="11"/>
  <c r="R262" i="11"/>
  <c r="AC265" i="11"/>
  <c r="C273" i="11"/>
  <c r="R263" i="11"/>
  <c r="AC266" i="11"/>
  <c r="C274" i="11"/>
  <c r="R264" i="11"/>
  <c r="AC267" i="11"/>
  <c r="C275" i="11"/>
  <c r="R265" i="11"/>
  <c r="AC268" i="11"/>
  <c r="C276" i="11"/>
  <c r="R266" i="11"/>
  <c r="AC269" i="11"/>
  <c r="C277" i="11"/>
  <c r="R267" i="11"/>
  <c r="AC270" i="11"/>
  <c r="C278" i="11"/>
  <c r="R268" i="11"/>
  <c r="AC271" i="11"/>
  <c r="C279" i="11"/>
  <c r="R269" i="11"/>
  <c r="AC272" i="11"/>
  <c r="C280" i="11"/>
  <c r="R270" i="11"/>
  <c r="AC273" i="11"/>
  <c r="C281" i="11"/>
  <c r="R271" i="11"/>
  <c r="AC274" i="11"/>
  <c r="C282" i="11"/>
  <c r="R272" i="11"/>
  <c r="AC275" i="11"/>
  <c r="C283" i="11"/>
  <c r="B282" i="11"/>
  <c r="R273" i="11"/>
  <c r="AC276" i="11"/>
  <c r="C284" i="11"/>
  <c r="R274" i="11"/>
  <c r="AC277" i="11"/>
  <c r="C285" i="11"/>
  <c r="R275" i="11"/>
  <c r="AC278" i="11"/>
  <c r="C286" i="11"/>
  <c r="R276" i="11"/>
  <c r="AC279" i="11"/>
  <c r="C287" i="11"/>
  <c r="R277" i="11"/>
  <c r="AC280" i="11"/>
  <c r="C288" i="11"/>
  <c r="R278" i="11"/>
  <c r="AC281" i="11"/>
  <c r="C289" i="11"/>
  <c r="R279" i="11"/>
  <c r="AC282" i="11"/>
  <c r="C290" i="11"/>
  <c r="R280" i="11"/>
  <c r="AC283" i="11"/>
  <c r="C291" i="11"/>
  <c r="R281" i="11"/>
  <c r="AC284" i="11"/>
  <c r="C292" i="11"/>
  <c r="R282" i="11"/>
  <c r="AC285" i="11"/>
  <c r="C293" i="11"/>
  <c r="R283" i="11"/>
  <c r="AC286" i="11"/>
  <c r="C294" i="11"/>
  <c r="R284" i="11"/>
  <c r="AC287" i="11"/>
  <c r="C295" i="11"/>
  <c r="B294" i="11"/>
  <c r="R285" i="11"/>
  <c r="AC288" i="11"/>
  <c r="C296" i="11"/>
  <c r="R286" i="11"/>
  <c r="AC289" i="11"/>
  <c r="C297" i="11"/>
  <c r="R287" i="11"/>
  <c r="AC290" i="11"/>
  <c r="C298" i="11"/>
  <c r="R288" i="11"/>
  <c r="AC291" i="11"/>
  <c r="C299" i="11"/>
  <c r="R289" i="11"/>
  <c r="AC292" i="11"/>
  <c r="C300" i="11"/>
  <c r="R290" i="11"/>
  <c r="AC293" i="11"/>
  <c r="C301" i="11"/>
  <c r="R291" i="11"/>
  <c r="AC294" i="11"/>
  <c r="C302" i="11"/>
  <c r="R292" i="11"/>
  <c r="AC295" i="11"/>
  <c r="C303" i="11"/>
  <c r="R293" i="11"/>
  <c r="AC296" i="11"/>
  <c r="C304" i="11"/>
  <c r="R294" i="11"/>
  <c r="AC297" i="11"/>
  <c r="C305" i="11"/>
  <c r="R295" i="11"/>
  <c r="AC298" i="11"/>
  <c r="C306" i="11"/>
  <c r="R296" i="11"/>
  <c r="AC299" i="11"/>
  <c r="B306" i="11"/>
  <c r="C307" i="11"/>
  <c r="R297" i="11"/>
  <c r="AC300" i="11"/>
  <c r="C308" i="11"/>
  <c r="R298" i="11"/>
  <c r="AC301" i="11"/>
  <c r="C309" i="11"/>
  <c r="R299" i="11"/>
  <c r="AC302" i="11"/>
  <c r="C310" i="11"/>
  <c r="R300" i="11"/>
  <c r="AC303" i="11"/>
  <c r="C311" i="11"/>
  <c r="R301" i="11"/>
  <c r="AC304" i="11"/>
  <c r="C312" i="11"/>
  <c r="R302" i="11"/>
  <c r="AC305" i="11"/>
  <c r="C313" i="11"/>
  <c r="R303" i="11"/>
  <c r="AC306" i="11"/>
  <c r="C314" i="11"/>
  <c r="R304" i="11"/>
  <c r="AC307" i="11"/>
  <c r="C315" i="11"/>
  <c r="R305" i="11"/>
  <c r="AC308" i="11"/>
  <c r="C316" i="11"/>
  <c r="R306" i="11"/>
  <c r="AC309" i="11"/>
  <c r="C317" i="11"/>
  <c r="R307" i="11"/>
  <c r="J5" i="11"/>
  <c r="J6" i="11"/>
  <c r="J7" i="11"/>
  <c r="J8" i="11"/>
  <c r="J9" i="11"/>
  <c r="J10" i="11"/>
  <c r="J11" i="11"/>
  <c r="J12" i="11"/>
  <c r="J13" i="11"/>
  <c r="J14" i="11"/>
  <c r="J15" i="11"/>
  <c r="J18" i="11"/>
  <c r="I18" i="11"/>
  <c r="AC310" i="11"/>
  <c r="C318" i="11"/>
  <c r="R308" i="11"/>
  <c r="AC311" i="11"/>
  <c r="K18" i="11"/>
  <c r="B318" i="11"/>
  <c r="C319" i="11"/>
  <c r="R309" i="11"/>
  <c r="L18" i="11"/>
  <c r="H19" i="11"/>
  <c r="I19" i="11"/>
  <c r="AC312" i="11"/>
  <c r="C320" i="11"/>
  <c r="R310" i="11"/>
  <c r="J19" i="11"/>
  <c r="AC313" i="11"/>
  <c r="C321" i="11"/>
  <c r="R311" i="11"/>
  <c r="K19" i="11"/>
  <c r="AC314" i="11"/>
  <c r="C322" i="11"/>
  <c r="L19" i="11"/>
  <c r="H20" i="11"/>
  <c r="I20" i="11"/>
  <c r="R312" i="11"/>
  <c r="J20" i="11"/>
  <c r="AC315" i="11"/>
  <c r="C323" i="11"/>
  <c r="R313" i="11"/>
  <c r="K20" i="11"/>
  <c r="AC316" i="11"/>
  <c r="C324" i="11"/>
  <c r="L20" i="11"/>
  <c r="H21" i="11"/>
  <c r="I21" i="11"/>
  <c r="R314" i="11"/>
  <c r="J21" i="11"/>
  <c r="AC317" i="11"/>
  <c r="C325" i="11"/>
  <c r="R315" i="11"/>
  <c r="K21" i="11"/>
  <c r="AI18" i="11"/>
  <c r="AJ13" i="11"/>
  <c r="AJ11" i="11"/>
  <c r="AJ7" i="11"/>
  <c r="AJ12" i="11"/>
  <c r="AJ6" i="11"/>
  <c r="AJ5" i="11"/>
  <c r="AJ9" i="11"/>
  <c r="AJ15" i="11"/>
  <c r="AJ10" i="11"/>
  <c r="AJ8" i="11"/>
  <c r="AJ14" i="11"/>
  <c r="AC318" i="11"/>
  <c r="AJ18" i="11"/>
  <c r="C326" i="11"/>
  <c r="L21" i="11"/>
  <c r="H22" i="11"/>
  <c r="I22" i="11"/>
  <c r="R316" i="11"/>
  <c r="AK18" i="11"/>
  <c r="AC319" i="11"/>
  <c r="C327" i="11"/>
  <c r="J22" i="11"/>
  <c r="K22" i="11"/>
  <c r="L22" i="11"/>
  <c r="H23" i="11"/>
  <c r="I23" i="11"/>
  <c r="R317" i="11"/>
  <c r="AL18" i="11"/>
  <c r="AH19" i="11"/>
  <c r="AC320" i="11"/>
  <c r="C328" i="11"/>
  <c r="J23" i="11"/>
  <c r="K23" i="11"/>
  <c r="L23" i="11"/>
  <c r="H24" i="11"/>
  <c r="J24" i="11"/>
  <c r="R318" i="11"/>
  <c r="AI19" i="11"/>
  <c r="AJ19" i="11"/>
  <c r="AC321" i="11"/>
  <c r="C329" i="11"/>
  <c r="I24" i="11"/>
  <c r="R319" i="11"/>
  <c r="AK19" i="11"/>
  <c r="AC322" i="11"/>
  <c r="K24" i="11"/>
  <c r="L24" i="11"/>
  <c r="H25" i="11"/>
  <c r="I25" i="11"/>
  <c r="C330" i="11"/>
  <c r="R320" i="11"/>
  <c r="AL19" i="11"/>
  <c r="AH20" i="11"/>
  <c r="AC323" i="11"/>
  <c r="J25" i="11"/>
  <c r="K25" i="11"/>
  <c r="L25" i="11"/>
  <c r="H26" i="11"/>
  <c r="I26" i="11"/>
  <c r="C331" i="11"/>
  <c r="B330" i="11"/>
  <c r="R321" i="11"/>
  <c r="AI20" i="11"/>
  <c r="AJ20" i="11"/>
  <c r="AC324" i="11"/>
  <c r="J26" i="11"/>
  <c r="C332" i="11"/>
  <c r="R322" i="11"/>
  <c r="AK20" i="11"/>
  <c r="AC325" i="11"/>
  <c r="K26" i="11"/>
  <c r="L26" i="11"/>
  <c r="H27" i="11"/>
  <c r="I27" i="11"/>
  <c r="C333" i="11"/>
  <c r="R323" i="11"/>
  <c r="AL20" i="11"/>
  <c r="AH21" i="11"/>
  <c r="AC326" i="11"/>
  <c r="J27" i="11"/>
  <c r="C334" i="11"/>
  <c r="R324" i="11"/>
  <c r="AI21" i="11"/>
  <c r="AJ21" i="11"/>
  <c r="AC327" i="11"/>
  <c r="K27" i="11"/>
  <c r="L27" i="11"/>
  <c r="H28" i="11"/>
  <c r="I28" i="11"/>
  <c r="C335" i="11"/>
  <c r="R325" i="11"/>
  <c r="AK21" i="11"/>
  <c r="AC328" i="11"/>
  <c r="J28" i="11"/>
  <c r="C336" i="11"/>
  <c r="R326" i="11"/>
  <c r="AL21" i="11"/>
  <c r="AH22" i="11"/>
  <c r="AC329" i="11"/>
  <c r="K28" i="11"/>
  <c r="L28" i="11"/>
  <c r="H29" i="11"/>
  <c r="I29" i="11"/>
  <c r="C337" i="11"/>
  <c r="R327" i="11"/>
  <c r="AI22" i="11"/>
  <c r="AJ22" i="11"/>
  <c r="AC330" i="11"/>
  <c r="J29" i="11"/>
  <c r="C338" i="11"/>
  <c r="R328" i="11"/>
  <c r="AK22" i="11"/>
  <c r="AC331" i="11"/>
  <c r="K29" i="11"/>
  <c r="L29" i="11"/>
  <c r="H30" i="11"/>
  <c r="I30" i="11"/>
  <c r="C339" i="11"/>
  <c r="R329" i="11"/>
  <c r="AL22" i="11"/>
  <c r="AH23" i="11"/>
  <c r="AC332" i="11"/>
  <c r="J30" i="11"/>
  <c r="C340" i="11"/>
  <c r="R330" i="11"/>
  <c r="AI23" i="11"/>
  <c r="AJ23" i="11"/>
  <c r="AC333" i="11"/>
  <c r="K30" i="11"/>
  <c r="C341" i="11"/>
  <c r="R331" i="11"/>
  <c r="AK23" i="11"/>
  <c r="AL23" i="11"/>
  <c r="AH24" i="11"/>
  <c r="AJ24" i="11"/>
  <c r="L30" i="11"/>
  <c r="H31" i="11"/>
  <c r="I31" i="11"/>
  <c r="AC334" i="11"/>
  <c r="C342" i="11"/>
  <c r="R332" i="11"/>
  <c r="AI24" i="11"/>
  <c r="AK24" i="11"/>
  <c r="AL24" i="11"/>
  <c r="AH25" i="11"/>
  <c r="AI25" i="11"/>
  <c r="J31" i="11"/>
  <c r="K31" i="11"/>
  <c r="AC335" i="11"/>
  <c r="B342" i="11"/>
  <c r="C343" i="11"/>
  <c r="R333" i="11"/>
  <c r="AJ25" i="11"/>
  <c r="AK25" i="11"/>
  <c r="AL25" i="11"/>
  <c r="AH26" i="11"/>
  <c r="L31" i="11"/>
  <c r="H32" i="11"/>
  <c r="I32" i="11"/>
  <c r="AC336" i="11"/>
  <c r="C344" i="11"/>
  <c r="R334" i="11"/>
  <c r="AI26" i="11"/>
  <c r="AJ26" i="11"/>
  <c r="J32" i="11"/>
  <c r="K32" i="11"/>
  <c r="AC337" i="11"/>
  <c r="C345" i="11"/>
  <c r="R335" i="11"/>
  <c r="AK26" i="11"/>
  <c r="AL26" i="11"/>
  <c r="AH27" i="11"/>
  <c r="AJ27" i="11"/>
  <c r="L32" i="11"/>
  <c r="H33" i="11"/>
  <c r="I33" i="11"/>
  <c r="AC338" i="11"/>
  <c r="C346" i="11"/>
  <c r="R336" i="11"/>
  <c r="AI27" i="11"/>
  <c r="AK27" i="11"/>
  <c r="AL27" i="11"/>
  <c r="AH28" i="11"/>
  <c r="J33" i="11"/>
  <c r="K33" i="11"/>
  <c r="AC339" i="11"/>
  <c r="C347" i="11"/>
  <c r="R337" i="11"/>
  <c r="AI28" i="11"/>
  <c r="AJ28" i="11"/>
  <c r="L33" i="11"/>
  <c r="H34" i="11"/>
  <c r="I34" i="11"/>
  <c r="AC340" i="11"/>
  <c r="C348" i="11"/>
  <c r="R338" i="11"/>
  <c r="AK28" i="11"/>
  <c r="AL28" i="11"/>
  <c r="AH29" i="11"/>
  <c r="AI29" i="11"/>
  <c r="J34" i="11"/>
  <c r="K34" i="11"/>
  <c r="AC341" i="11"/>
  <c r="C349" i="11"/>
  <c r="R339" i="11"/>
  <c r="AJ29" i="11"/>
  <c r="AK29" i="11"/>
  <c r="AL29" i="11"/>
  <c r="AH30" i="11"/>
  <c r="AI30" i="11"/>
  <c r="L34" i="11"/>
  <c r="H35" i="11"/>
  <c r="I35" i="11"/>
  <c r="AC342" i="11"/>
  <c r="C350" i="11"/>
  <c r="R340" i="11"/>
  <c r="AJ30" i="11"/>
  <c r="AK30" i="11"/>
  <c r="AL30" i="11"/>
  <c r="AH31" i="11"/>
  <c r="AI31" i="11"/>
  <c r="J35" i="11"/>
  <c r="K35" i="11"/>
  <c r="L35" i="11"/>
  <c r="H36" i="11"/>
  <c r="I36" i="11"/>
  <c r="AC343" i="11"/>
  <c r="C351" i="11"/>
  <c r="R341" i="11"/>
  <c r="AJ31" i="11"/>
  <c r="AK31" i="11"/>
  <c r="AL31" i="11"/>
  <c r="AH32" i="11"/>
  <c r="AI32" i="11"/>
  <c r="AC344" i="11"/>
  <c r="J36" i="11"/>
  <c r="C352" i="11"/>
  <c r="R342" i="11"/>
  <c r="AJ32" i="11"/>
  <c r="AK32" i="11"/>
  <c r="AL32" i="11"/>
  <c r="AH33" i="11"/>
  <c r="AC345" i="11"/>
  <c r="K36" i="11"/>
  <c r="L36" i="11"/>
  <c r="H37" i="11"/>
  <c r="I37" i="11"/>
  <c r="C353" i="11"/>
  <c r="R343" i="11"/>
  <c r="AI33" i="11"/>
  <c r="AJ33" i="11"/>
  <c r="AC346" i="11"/>
  <c r="J37" i="11"/>
  <c r="C354" i="11"/>
  <c r="R344" i="11"/>
  <c r="AK33" i="11"/>
  <c r="AL33" i="11"/>
  <c r="AH34" i="11"/>
  <c r="AC347" i="11"/>
  <c r="K37" i="11"/>
  <c r="L37" i="11"/>
  <c r="H38" i="11"/>
  <c r="I38" i="11"/>
  <c r="B354" i="11"/>
  <c r="C355" i="11"/>
  <c r="R345" i="11"/>
  <c r="AI34" i="11"/>
  <c r="AJ34" i="11"/>
  <c r="AC348" i="11"/>
  <c r="J38" i="11"/>
  <c r="C356" i="11"/>
  <c r="R346" i="11"/>
  <c r="AK34" i="11"/>
  <c r="AL34" i="11"/>
  <c r="AH35" i="11"/>
  <c r="AJ35" i="11"/>
  <c r="AC349" i="11"/>
  <c r="K38" i="11"/>
  <c r="L38" i="11"/>
  <c r="H39" i="11"/>
  <c r="C357" i="11"/>
  <c r="R347" i="11"/>
  <c r="AI35" i="11"/>
  <c r="AK35" i="11"/>
  <c r="AL35" i="11"/>
  <c r="AH36" i="11"/>
  <c r="J39" i="11"/>
  <c r="I39" i="11"/>
  <c r="AC350" i="11"/>
  <c r="C358" i="11"/>
  <c r="R348" i="11"/>
  <c r="AI36" i="11"/>
  <c r="AJ36" i="11"/>
  <c r="AC351" i="11"/>
  <c r="K39" i="11"/>
  <c r="L39" i="11"/>
  <c r="H40" i="11"/>
  <c r="I40" i="11"/>
  <c r="C359" i="11"/>
  <c r="R349" i="11"/>
  <c r="AK36" i="11"/>
  <c r="AL36" i="11"/>
  <c r="AH37" i="11"/>
  <c r="AC352" i="11"/>
  <c r="J40" i="11"/>
  <c r="K40" i="11"/>
  <c r="L40" i="11"/>
  <c r="H41" i="11"/>
  <c r="I41" i="11"/>
  <c r="C360" i="11"/>
  <c r="R350" i="11"/>
  <c r="AI37" i="11"/>
  <c r="AJ37" i="11"/>
  <c r="AC353" i="11"/>
  <c r="J41" i="11"/>
  <c r="C361" i="11"/>
  <c r="R351" i="11"/>
  <c r="AK37" i="11"/>
  <c r="AL37" i="11"/>
  <c r="AH38" i="11"/>
  <c r="AI38" i="11"/>
  <c r="AC354" i="11"/>
  <c r="K41" i="11"/>
  <c r="L41" i="11"/>
  <c r="H42" i="11"/>
  <c r="I42" i="11"/>
  <c r="C362" i="11"/>
  <c r="R352" i="11"/>
  <c r="AJ38" i="11"/>
  <c r="AK38" i="11"/>
  <c r="AL38" i="11"/>
  <c r="AH39" i="11"/>
  <c r="AC355" i="11"/>
  <c r="J42" i="11"/>
  <c r="C363" i="11"/>
  <c r="R353" i="11"/>
  <c r="AI39" i="11"/>
  <c r="AJ39" i="11"/>
  <c r="AC356" i="11"/>
  <c r="K42" i="11"/>
  <c r="C364" i="11"/>
  <c r="R354" i="11"/>
  <c r="AK39" i="11"/>
  <c r="AL39" i="11"/>
  <c r="AH40" i="11"/>
  <c r="AJ40" i="11"/>
  <c r="L42" i="11"/>
  <c r="H43" i="11"/>
  <c r="I43" i="11"/>
  <c r="AC357" i="11"/>
  <c r="C365" i="11"/>
  <c r="R355" i="11"/>
  <c r="AI40" i="11"/>
  <c r="AK40" i="11"/>
  <c r="AL40" i="11"/>
  <c r="AH41" i="11"/>
  <c r="J43" i="11"/>
  <c r="K43" i="11"/>
  <c r="AC358" i="11"/>
  <c r="C366" i="11"/>
  <c r="R356" i="11"/>
  <c r="AI41" i="11"/>
  <c r="AJ41" i="11"/>
  <c r="L43" i="11"/>
  <c r="H44" i="11"/>
  <c r="I44" i="11"/>
  <c r="AC359" i="11"/>
  <c r="B366" i="11"/>
  <c r="C367" i="11"/>
  <c r="R357" i="11"/>
  <c r="AK41" i="11"/>
  <c r="AL41" i="11"/>
  <c r="AH42" i="11"/>
  <c r="AI42" i="11"/>
  <c r="J44" i="11"/>
  <c r="K44" i="11"/>
  <c r="AC360" i="11"/>
  <c r="C368" i="11"/>
  <c r="R358" i="11"/>
  <c r="AJ42" i="11"/>
  <c r="AK42" i="11"/>
  <c r="AL42" i="11"/>
  <c r="AH43" i="11"/>
  <c r="AJ43" i="11"/>
  <c r="L44" i="11"/>
  <c r="H45" i="11"/>
  <c r="I45" i="11"/>
  <c r="AC361" i="11"/>
  <c r="C369" i="11"/>
  <c r="R359" i="11"/>
  <c r="AI43" i="11"/>
  <c r="AK43" i="11"/>
  <c r="AL43" i="11"/>
  <c r="AH44" i="11"/>
  <c r="J45" i="11"/>
  <c r="K45" i="11"/>
  <c r="AC362" i="11"/>
  <c r="C370" i="11"/>
  <c r="R360" i="11"/>
  <c r="AI44" i="11"/>
  <c r="AJ44" i="11"/>
  <c r="L45" i="11"/>
  <c r="H46" i="11"/>
  <c r="I46" i="11"/>
  <c r="AC363" i="11"/>
  <c r="C371" i="11"/>
  <c r="R361" i="11"/>
  <c r="AK44" i="11"/>
  <c r="AL44" i="11"/>
  <c r="AH45" i="11"/>
  <c r="J46" i="11"/>
  <c r="K46" i="11"/>
  <c r="AC364" i="11"/>
  <c r="C372" i="11"/>
  <c r="R362" i="11"/>
  <c r="AI45" i="11"/>
  <c r="AJ45" i="11"/>
  <c r="L46" i="11"/>
  <c r="H47" i="11"/>
  <c r="I47" i="11"/>
  <c r="AC365" i="11"/>
  <c r="C373" i="11"/>
  <c r="R363" i="11"/>
  <c r="AK45" i="11"/>
  <c r="AL45" i="11"/>
  <c r="AH46" i="11"/>
  <c r="AI46" i="11"/>
  <c r="J47" i="11"/>
  <c r="K47" i="11"/>
  <c r="L47" i="11"/>
  <c r="H48" i="11"/>
  <c r="I48" i="11"/>
  <c r="AC366" i="11"/>
  <c r="C374" i="11"/>
  <c r="R364" i="11"/>
  <c r="AJ46" i="11"/>
  <c r="AK46" i="11"/>
  <c r="AL46" i="11"/>
  <c r="AH47" i="11"/>
  <c r="AI47" i="11"/>
  <c r="AC367" i="11"/>
  <c r="J48" i="11"/>
  <c r="K48" i="11"/>
  <c r="L48" i="11"/>
  <c r="H49" i="11"/>
  <c r="I49" i="11"/>
  <c r="C375" i="11"/>
  <c r="R365" i="11"/>
  <c r="AJ47" i="11"/>
  <c r="AK47" i="11"/>
  <c r="AL47" i="11"/>
  <c r="AH48" i="11"/>
  <c r="AI48" i="11"/>
  <c r="AC368" i="11"/>
  <c r="J49" i="11"/>
  <c r="C376" i="11"/>
  <c r="R366" i="11"/>
  <c r="AJ48" i="11"/>
  <c r="AK48" i="11"/>
  <c r="AL48" i="11"/>
  <c r="AH49" i="11"/>
  <c r="AI49" i="11"/>
  <c r="AC369" i="11"/>
  <c r="K49" i="11"/>
  <c r="L49" i="11"/>
  <c r="H50" i="11"/>
  <c r="I50" i="11"/>
  <c r="C377" i="11"/>
  <c r="R367" i="11"/>
  <c r="AJ49" i="11"/>
  <c r="AK49" i="11"/>
  <c r="AL49" i="11"/>
  <c r="AH50" i="11"/>
  <c r="AJ50" i="11"/>
  <c r="AC370" i="11"/>
  <c r="J50" i="11"/>
  <c r="C378" i="11"/>
  <c r="R368" i="11"/>
  <c r="AI50" i="11"/>
  <c r="AK50" i="11"/>
  <c r="AL50" i="11"/>
  <c r="AH51" i="11"/>
  <c r="AC371" i="11"/>
  <c r="K50" i="11"/>
  <c r="L50" i="11"/>
  <c r="H51" i="11"/>
  <c r="I51" i="11"/>
  <c r="C379" i="11"/>
  <c r="B378" i="11"/>
  <c r="R369" i="11"/>
  <c r="AI51" i="11"/>
  <c r="AJ51" i="11"/>
  <c r="AC372" i="11"/>
  <c r="J51" i="11"/>
  <c r="C380" i="11"/>
  <c r="R370" i="11"/>
  <c r="AK51" i="11"/>
  <c r="AL51" i="11"/>
  <c r="AH52" i="11"/>
  <c r="AC373" i="11"/>
  <c r="K51" i="11"/>
  <c r="L51" i="11"/>
  <c r="H52" i="11"/>
  <c r="I52" i="11"/>
  <c r="C381" i="11"/>
  <c r="R371" i="11"/>
  <c r="AI52" i="11"/>
  <c r="AJ52" i="11"/>
  <c r="AC374" i="11"/>
  <c r="J52" i="11"/>
  <c r="C382" i="11"/>
  <c r="R372" i="11"/>
  <c r="AK52" i="11"/>
  <c r="AL52" i="11"/>
  <c r="AH53" i="11"/>
  <c r="AI53" i="11"/>
  <c r="AC375" i="11"/>
  <c r="K52" i="11"/>
  <c r="L52" i="11"/>
  <c r="H53" i="11"/>
  <c r="I53" i="11"/>
  <c r="C383" i="11"/>
  <c r="R373" i="11"/>
  <c r="AJ53" i="11"/>
  <c r="AK53" i="11"/>
  <c r="AL53" i="11"/>
  <c r="AH54" i="11"/>
  <c r="AJ54" i="11"/>
  <c r="AC376" i="11"/>
  <c r="J53" i="11"/>
  <c r="C384" i="11"/>
  <c r="R374" i="11"/>
  <c r="AI54" i="11"/>
  <c r="AK54" i="11"/>
  <c r="AL54" i="11"/>
  <c r="AH55" i="11"/>
  <c r="AC377" i="11"/>
  <c r="K53" i="11"/>
  <c r="L53" i="11"/>
  <c r="H54" i="11"/>
  <c r="I54" i="11"/>
  <c r="C385" i="11"/>
  <c r="R375" i="11"/>
  <c r="AI55" i="11"/>
  <c r="AJ55" i="11"/>
  <c r="AC378" i="11"/>
  <c r="J54" i="11"/>
  <c r="C386" i="11"/>
  <c r="R376" i="11"/>
  <c r="AK55" i="11"/>
  <c r="AL55" i="11"/>
  <c r="AH56" i="11"/>
  <c r="AC379" i="11"/>
  <c r="K54" i="11"/>
  <c r="C387" i="11"/>
  <c r="R377" i="11"/>
  <c r="AI56" i="11"/>
  <c r="AJ56" i="11"/>
  <c r="L54" i="11"/>
  <c r="H55" i="11"/>
  <c r="I55" i="11"/>
  <c r="AC380" i="11"/>
  <c r="C388" i="11"/>
  <c r="R378" i="11"/>
  <c r="AK56" i="11"/>
  <c r="AL56" i="11"/>
  <c r="AH57" i="11"/>
  <c r="J55" i="11"/>
  <c r="K55" i="11"/>
  <c r="AC381" i="11"/>
  <c r="C389" i="11"/>
  <c r="R379" i="11"/>
  <c r="AI57" i="11"/>
  <c r="AJ57" i="11"/>
  <c r="L55" i="11"/>
  <c r="H56" i="11"/>
  <c r="I56" i="11"/>
  <c r="AC382" i="11"/>
  <c r="C390" i="11"/>
  <c r="R380" i="11"/>
  <c r="AK57" i="11"/>
  <c r="AL57" i="11"/>
  <c r="AH58" i="11"/>
  <c r="J56" i="11"/>
  <c r="K56" i="11"/>
  <c r="L56" i="11"/>
  <c r="H57" i="11"/>
  <c r="I57" i="11"/>
  <c r="AC383" i="11"/>
  <c r="B390" i="11"/>
  <c r="C391" i="11"/>
  <c r="R381" i="11"/>
  <c r="AI58" i="11"/>
  <c r="AJ58" i="11"/>
  <c r="J57" i="11"/>
  <c r="K57" i="11"/>
  <c r="L57" i="11"/>
  <c r="H58" i="11"/>
  <c r="I58" i="11"/>
  <c r="AC384" i="11"/>
  <c r="C392" i="11"/>
  <c r="R382" i="11"/>
  <c r="AK58" i="11"/>
  <c r="AL58" i="11"/>
  <c r="AH59" i="11"/>
  <c r="J58" i="11"/>
  <c r="K58" i="11"/>
  <c r="AC385" i="11"/>
  <c r="C393" i="11"/>
  <c r="R383" i="11"/>
  <c r="AI59" i="11"/>
  <c r="AJ59" i="11"/>
  <c r="L58" i="11"/>
  <c r="H59" i="11"/>
  <c r="I59" i="11"/>
  <c r="AC386" i="11"/>
  <c r="C394" i="11"/>
  <c r="R384" i="11"/>
  <c r="AK59" i="11"/>
  <c r="AL59" i="11"/>
  <c r="AH60" i="11"/>
  <c r="J59" i="11"/>
  <c r="K59" i="11"/>
  <c r="L59" i="11"/>
  <c r="H60" i="11"/>
  <c r="I60" i="11"/>
  <c r="AC387" i="11"/>
  <c r="C395" i="11"/>
  <c r="R385" i="11"/>
  <c r="J60" i="11"/>
  <c r="K60" i="11"/>
  <c r="L60" i="11"/>
  <c r="H61" i="11"/>
  <c r="I61" i="11"/>
  <c r="AI60" i="11"/>
  <c r="AJ60" i="11"/>
  <c r="AC388" i="11"/>
  <c r="C396" i="11"/>
  <c r="R386" i="11"/>
  <c r="AK60" i="11"/>
  <c r="AL60" i="11"/>
  <c r="AH61" i="11"/>
  <c r="AC389" i="11"/>
  <c r="J61" i="11"/>
  <c r="C397" i="11"/>
  <c r="R387" i="11"/>
  <c r="AI61" i="11"/>
  <c r="AJ61" i="11"/>
  <c r="AC390" i="11"/>
  <c r="K61" i="11"/>
  <c r="L61" i="11"/>
  <c r="H62" i="11"/>
  <c r="C398" i="11"/>
  <c r="R388" i="11"/>
  <c r="AK61" i="11"/>
  <c r="AL61" i="11"/>
  <c r="AH62" i="11"/>
  <c r="J62" i="11"/>
  <c r="I62" i="11"/>
  <c r="AC391" i="11"/>
  <c r="C399" i="11"/>
  <c r="R389" i="11"/>
  <c r="AI62" i="11"/>
  <c r="AJ62" i="11"/>
  <c r="K62" i="11"/>
  <c r="L62" i="11"/>
  <c r="H63" i="11"/>
  <c r="I63" i="11"/>
  <c r="AC392" i="11"/>
  <c r="C400" i="11"/>
  <c r="R390" i="11"/>
  <c r="J63" i="11"/>
  <c r="K63" i="11"/>
  <c r="L63" i="11"/>
  <c r="H64" i="11"/>
  <c r="I64" i="11"/>
  <c r="AK62" i="11"/>
  <c r="AL62" i="11"/>
  <c r="AH63" i="11"/>
  <c r="AC393" i="11"/>
  <c r="C401" i="11"/>
  <c r="R391" i="11"/>
  <c r="AI63" i="11"/>
  <c r="AJ63" i="11"/>
  <c r="AC394" i="11"/>
  <c r="J64" i="11"/>
  <c r="K64" i="11"/>
  <c r="L64" i="11"/>
  <c r="H65" i="11"/>
  <c r="I65" i="11"/>
  <c r="C402" i="11"/>
  <c r="R392" i="11"/>
  <c r="AK63" i="11"/>
  <c r="AL63" i="11"/>
  <c r="AH64" i="11"/>
  <c r="AI64" i="11"/>
  <c r="AC395" i="11"/>
  <c r="J65" i="11"/>
  <c r="C403" i="11"/>
  <c r="B402" i="11"/>
  <c r="R393" i="11"/>
  <c r="AJ64" i="11"/>
  <c r="AK64" i="11"/>
  <c r="AL64" i="11"/>
  <c r="AH65" i="11"/>
  <c r="AJ65" i="11"/>
  <c r="AC396" i="11"/>
  <c r="K65" i="11"/>
  <c r="L65" i="11"/>
  <c r="H66" i="11"/>
  <c r="I66" i="11"/>
  <c r="C404" i="11"/>
  <c r="R394" i="11"/>
  <c r="AI65" i="11"/>
  <c r="AK65" i="11"/>
  <c r="AL65" i="11"/>
  <c r="AH66" i="11"/>
  <c r="AC397" i="11"/>
  <c r="J66" i="11"/>
  <c r="C405" i="11"/>
  <c r="R395" i="11"/>
  <c r="AI66" i="11"/>
  <c r="AJ66" i="11"/>
  <c r="AC398" i="11"/>
  <c r="K66" i="11"/>
  <c r="C406" i="11"/>
  <c r="R396" i="11"/>
  <c r="AK66" i="11"/>
  <c r="AL66" i="11"/>
  <c r="AH67" i="11"/>
  <c r="L66" i="11"/>
  <c r="H67" i="11"/>
  <c r="I67" i="11"/>
  <c r="AC399" i="11"/>
  <c r="C407" i="11"/>
  <c r="R397" i="11"/>
  <c r="AI67" i="11"/>
  <c r="AJ67" i="11"/>
  <c r="J67" i="11"/>
  <c r="K67" i="11"/>
  <c r="AC400" i="11"/>
  <c r="C408" i="11"/>
  <c r="R398" i="11"/>
  <c r="AK67" i="11"/>
  <c r="AL67" i="11"/>
  <c r="AH68" i="11"/>
  <c r="L67" i="11"/>
  <c r="H68" i="11"/>
  <c r="I68" i="11"/>
  <c r="AC401" i="11"/>
  <c r="C409" i="11"/>
  <c r="R399" i="11"/>
  <c r="AI68" i="11"/>
  <c r="AJ68" i="11"/>
  <c r="J68" i="11"/>
  <c r="K68" i="11"/>
  <c r="AC402" i="11"/>
  <c r="C410" i="11"/>
  <c r="R400" i="11"/>
  <c r="AK68" i="11"/>
  <c r="AL68" i="11"/>
  <c r="AH69" i="11"/>
  <c r="L68" i="11"/>
  <c r="H69" i="11"/>
  <c r="I69" i="11"/>
  <c r="AC403" i="11"/>
  <c r="C411" i="11"/>
  <c r="R401" i="11"/>
  <c r="AI69" i="11"/>
  <c r="AJ69" i="11"/>
  <c r="J69" i="11"/>
  <c r="K69" i="11"/>
  <c r="AC404" i="11"/>
  <c r="C412" i="11"/>
  <c r="R402" i="11"/>
  <c r="AK69" i="11"/>
  <c r="AL69" i="11"/>
  <c r="AH70" i="11"/>
  <c r="L69" i="11"/>
  <c r="H70" i="11"/>
  <c r="I70" i="11"/>
  <c r="AC405" i="11"/>
  <c r="C413" i="11"/>
  <c r="R403" i="11"/>
  <c r="AI70" i="11"/>
  <c r="AJ70" i="11"/>
  <c r="J70" i="11"/>
  <c r="K70" i="11"/>
  <c r="AC406" i="11"/>
  <c r="C414" i="11"/>
  <c r="R404" i="11"/>
  <c r="AK70" i="11"/>
  <c r="AL70" i="11"/>
  <c r="AH71" i="11"/>
  <c r="L70" i="11"/>
  <c r="H71" i="11"/>
  <c r="I71" i="11"/>
  <c r="AC407" i="11"/>
  <c r="C415" i="11"/>
  <c r="B414" i="11"/>
  <c r="R405" i="11"/>
  <c r="AI71" i="11"/>
  <c r="AJ71" i="11"/>
  <c r="J71" i="11"/>
  <c r="K71" i="11"/>
  <c r="L71" i="11"/>
  <c r="H72" i="11"/>
  <c r="I72" i="11"/>
  <c r="AC408" i="11"/>
  <c r="C416" i="11"/>
  <c r="R406" i="11"/>
  <c r="AK71" i="11"/>
  <c r="AL71" i="11"/>
  <c r="AH72" i="11"/>
  <c r="AC409" i="11"/>
  <c r="J72" i="11"/>
  <c r="C417" i="11"/>
  <c r="R407" i="11"/>
  <c r="AI72" i="11"/>
  <c r="AJ72" i="11"/>
  <c r="AC410" i="11"/>
  <c r="K72" i="11"/>
  <c r="L72" i="11"/>
  <c r="H73" i="11"/>
  <c r="I73" i="11"/>
  <c r="C418" i="11"/>
  <c r="R408" i="11"/>
  <c r="AK72" i="11"/>
  <c r="AL72" i="11"/>
  <c r="AH73" i="11"/>
  <c r="AC411" i="11"/>
  <c r="J73" i="11"/>
  <c r="K73" i="11"/>
  <c r="L73" i="11"/>
  <c r="H74" i="11"/>
  <c r="I74" i="11"/>
  <c r="C419" i="11"/>
  <c r="R409" i="11"/>
  <c r="AI73" i="11"/>
  <c r="AJ73" i="11"/>
  <c r="AC412" i="11"/>
  <c r="J74" i="11"/>
  <c r="K74" i="11"/>
  <c r="L74" i="11"/>
  <c r="H75" i="11"/>
  <c r="I75" i="11"/>
  <c r="C420" i="11"/>
  <c r="R410" i="11"/>
  <c r="AK73" i="11"/>
  <c r="AL73" i="11"/>
  <c r="AH74" i="11"/>
  <c r="AI74" i="11"/>
  <c r="AC413" i="11"/>
  <c r="J75" i="11"/>
  <c r="C421" i="11"/>
  <c r="R411" i="11"/>
  <c r="AJ74" i="11"/>
  <c r="AK74" i="11"/>
  <c r="AL74" i="11"/>
  <c r="AH75" i="11"/>
  <c r="AC414" i="11"/>
  <c r="K75" i="11"/>
  <c r="L75" i="11"/>
  <c r="H76" i="11"/>
  <c r="I76" i="11"/>
  <c r="C422" i="11"/>
  <c r="R412" i="11"/>
  <c r="AI75" i="11"/>
  <c r="AJ75" i="11"/>
  <c r="AC415" i="11"/>
  <c r="J76" i="11"/>
  <c r="K76" i="11"/>
  <c r="L76" i="11"/>
  <c r="H77" i="11"/>
  <c r="I77" i="11"/>
  <c r="C423" i="11"/>
  <c r="R413" i="11"/>
  <c r="AK75" i="11"/>
  <c r="AL75" i="11"/>
  <c r="AH76" i="11"/>
  <c r="AI76" i="11"/>
  <c r="AC416" i="11"/>
  <c r="J77" i="11"/>
  <c r="K77" i="11"/>
  <c r="L77" i="11"/>
  <c r="H78" i="11"/>
  <c r="I78" i="11"/>
  <c r="C424" i="11"/>
  <c r="R414" i="11"/>
  <c r="AJ76" i="11"/>
  <c r="AK76" i="11"/>
  <c r="AL76" i="11"/>
  <c r="AH77" i="11"/>
  <c r="AC417" i="11"/>
  <c r="J78" i="11"/>
  <c r="C425" i="11"/>
  <c r="R415" i="11"/>
  <c r="AI77" i="11"/>
  <c r="AJ77" i="11"/>
  <c r="AC418" i="11"/>
  <c r="K78" i="11"/>
  <c r="C426" i="11"/>
  <c r="R416" i="11"/>
  <c r="AK77" i="11"/>
  <c r="AL77" i="11"/>
  <c r="AH78" i="11"/>
  <c r="AI78" i="11"/>
  <c r="L78" i="11"/>
  <c r="H79" i="11"/>
  <c r="I79" i="11"/>
  <c r="AC419" i="11"/>
  <c r="C427" i="11"/>
  <c r="B426" i="11"/>
  <c r="R417" i="11"/>
  <c r="AJ78" i="11"/>
  <c r="AK78" i="11"/>
  <c r="AL78" i="11"/>
  <c r="AH79" i="11"/>
  <c r="AJ79" i="11"/>
  <c r="J79" i="11"/>
  <c r="K79" i="11"/>
  <c r="L79" i="11"/>
  <c r="H80" i="11"/>
  <c r="I80" i="11"/>
  <c r="AC420" i="11"/>
  <c r="C428" i="11"/>
  <c r="R418" i="11"/>
  <c r="AI79" i="11"/>
  <c r="AK79" i="11"/>
  <c r="AL79" i="11"/>
  <c r="AH80" i="11"/>
  <c r="J80" i="11"/>
  <c r="K80" i="11"/>
  <c r="AC421" i="11"/>
  <c r="C429" i="11"/>
  <c r="R419" i="11"/>
  <c r="AI80" i="11"/>
  <c r="AJ80" i="11"/>
  <c r="L80" i="11"/>
  <c r="H81" i="11"/>
  <c r="I81" i="11"/>
  <c r="AC422" i="11"/>
  <c r="C430" i="11"/>
  <c r="R420" i="11"/>
  <c r="AK80" i="11"/>
  <c r="AL80" i="11"/>
  <c r="AH81" i="11"/>
  <c r="AI81" i="11"/>
  <c r="J81" i="11"/>
  <c r="K81" i="11"/>
  <c r="L81" i="11"/>
  <c r="H82" i="11"/>
  <c r="I82" i="11"/>
  <c r="AC423" i="11"/>
  <c r="C431" i="11"/>
  <c r="R421" i="11"/>
  <c r="AJ81" i="11"/>
  <c r="AK81" i="11"/>
  <c r="AL81" i="11"/>
  <c r="AH82" i="11"/>
  <c r="AJ82" i="11"/>
  <c r="J82" i="11"/>
  <c r="K82" i="11"/>
  <c r="L82" i="11"/>
  <c r="H83" i="11"/>
  <c r="AC424" i="11"/>
  <c r="C432" i="11"/>
  <c r="R422" i="11"/>
  <c r="AI82" i="11"/>
  <c r="AK82" i="11"/>
  <c r="AL82" i="11"/>
  <c r="AH83" i="11"/>
  <c r="I83" i="11"/>
  <c r="J83" i="11"/>
  <c r="AC425" i="11"/>
  <c r="C433" i="11"/>
  <c r="R423" i="11"/>
  <c r="AI83" i="11"/>
  <c r="AJ83" i="11"/>
  <c r="K83" i="11"/>
  <c r="L83" i="11"/>
  <c r="H84" i="11"/>
  <c r="I84" i="11"/>
  <c r="AC426" i="11"/>
  <c r="C434" i="11"/>
  <c r="R424" i="11"/>
  <c r="AK83" i="11"/>
  <c r="AL83" i="11"/>
  <c r="AH84" i="11"/>
  <c r="J84" i="11"/>
  <c r="K84" i="11"/>
  <c r="AC427" i="11"/>
  <c r="C435" i="11"/>
  <c r="R425" i="11"/>
  <c r="AI84" i="11"/>
  <c r="AJ84" i="11"/>
  <c r="L84" i="11"/>
  <c r="H85" i="11"/>
  <c r="I85" i="11"/>
  <c r="AC428" i="11"/>
  <c r="C436" i="11"/>
  <c r="R426" i="11"/>
  <c r="AK84" i="11"/>
  <c r="AL84" i="11"/>
  <c r="AH85" i="11"/>
  <c r="J85" i="11"/>
  <c r="K85" i="11"/>
  <c r="L85" i="11"/>
  <c r="H86" i="11"/>
  <c r="I86" i="11"/>
  <c r="AC429" i="11"/>
  <c r="C437" i="11"/>
  <c r="R427" i="11"/>
  <c r="AI85" i="11"/>
  <c r="AJ85" i="11"/>
  <c r="AC430" i="11"/>
  <c r="J86" i="11"/>
  <c r="K86" i="11"/>
  <c r="L86" i="11"/>
  <c r="H87" i="11"/>
  <c r="C438" i="11"/>
  <c r="R428" i="11"/>
  <c r="AK85" i="11"/>
  <c r="AL85" i="11"/>
  <c r="AH86" i="11"/>
  <c r="AI86" i="11"/>
  <c r="J87" i="11"/>
  <c r="I87" i="11"/>
  <c r="AC431" i="11"/>
  <c r="B438" i="11"/>
  <c r="C439" i="11"/>
  <c r="R429" i="11"/>
  <c r="AJ86" i="11"/>
  <c r="AK86" i="11"/>
  <c r="AL86" i="11"/>
  <c r="AH87" i="11"/>
  <c r="AJ87" i="11"/>
  <c r="K87" i="11"/>
  <c r="L87" i="11"/>
  <c r="H88" i="11"/>
  <c r="J88" i="11"/>
  <c r="AC432" i="11"/>
  <c r="C440" i="11"/>
  <c r="R430" i="11"/>
  <c r="AI87" i="11"/>
  <c r="AK87" i="11"/>
  <c r="AL87" i="11"/>
  <c r="AH88" i="11"/>
  <c r="I88" i="11"/>
  <c r="K88" i="11"/>
  <c r="L88" i="11"/>
  <c r="H89" i="11"/>
  <c r="I89" i="11"/>
  <c r="AC433" i="11"/>
  <c r="C441" i="11"/>
  <c r="R431" i="11"/>
  <c r="AI88" i="11"/>
  <c r="AJ88" i="11"/>
  <c r="J89" i="11"/>
  <c r="K89" i="11"/>
  <c r="L89" i="11"/>
  <c r="H90" i="11"/>
  <c r="I90" i="11"/>
  <c r="AC434" i="11"/>
  <c r="C442" i="11"/>
  <c r="R432" i="11"/>
  <c r="AK88" i="11"/>
  <c r="AL88" i="11"/>
  <c r="AH89" i="11"/>
  <c r="AI89" i="11"/>
  <c r="AC435" i="11"/>
  <c r="J90" i="11"/>
  <c r="C443" i="11"/>
  <c r="R433" i="11"/>
  <c r="AJ89" i="11"/>
  <c r="AK89" i="11"/>
  <c r="AL89" i="11"/>
  <c r="AH90" i="11"/>
  <c r="AJ90" i="11"/>
  <c r="AC436" i="11"/>
  <c r="K90" i="11"/>
  <c r="C444" i="11"/>
  <c r="R434" i="11"/>
  <c r="AI90" i="11"/>
  <c r="AK90" i="11"/>
  <c r="AL90" i="11"/>
  <c r="AH91" i="11"/>
  <c r="L90" i="11"/>
  <c r="H91" i="11"/>
  <c r="J91" i="11"/>
  <c r="AC437" i="11"/>
  <c r="C445" i="11"/>
  <c r="R435" i="11"/>
  <c r="AI91" i="11"/>
  <c r="AJ91" i="11"/>
  <c r="I91" i="11"/>
  <c r="K91" i="11"/>
  <c r="AC438" i="11"/>
  <c r="C446" i="11"/>
  <c r="R436" i="11"/>
  <c r="AK91" i="11"/>
  <c r="AL91" i="11"/>
  <c r="AH92" i="11"/>
  <c r="AI92" i="11"/>
  <c r="L91" i="11"/>
  <c r="H92" i="11"/>
  <c r="I92" i="11"/>
  <c r="AC439" i="11"/>
  <c r="C447" i="11"/>
  <c r="R437" i="11"/>
  <c r="AJ92" i="11"/>
  <c r="AK92" i="11"/>
  <c r="AL92" i="11"/>
  <c r="AH93" i="11"/>
  <c r="J92" i="11"/>
  <c r="K92" i="11"/>
  <c r="L92" i="11"/>
  <c r="H93" i="11"/>
  <c r="I93" i="11"/>
  <c r="AC440" i="11"/>
  <c r="C448" i="11"/>
  <c r="R438" i="11"/>
  <c r="AJ93" i="11"/>
  <c r="AI93" i="11"/>
  <c r="J93" i="11"/>
  <c r="K93" i="11"/>
  <c r="AC441" i="11"/>
  <c r="C449" i="11"/>
  <c r="R439" i="11"/>
  <c r="AK93" i="11"/>
  <c r="AL93" i="11"/>
  <c r="AH94" i="11"/>
  <c r="AI94" i="11"/>
  <c r="L93" i="11"/>
  <c r="H94" i="11"/>
  <c r="I94" i="11"/>
  <c r="AC442" i="11"/>
  <c r="C450" i="11"/>
  <c r="R440" i="11"/>
  <c r="AJ94" i="11"/>
  <c r="AK94" i="11"/>
  <c r="AL94" i="11"/>
  <c r="AH95" i="11"/>
  <c r="J94" i="11"/>
  <c r="K94" i="11"/>
  <c r="L94" i="11"/>
  <c r="H95" i="11"/>
  <c r="I95" i="11"/>
  <c r="AC443" i="11"/>
  <c r="B450" i="11"/>
  <c r="C451" i="11"/>
  <c r="R441" i="11"/>
  <c r="AJ95" i="11"/>
  <c r="AI95" i="11"/>
  <c r="J95" i="11"/>
  <c r="K95" i="11"/>
  <c r="AC444" i="11"/>
  <c r="C452" i="11"/>
  <c r="R442" i="11"/>
  <c r="AK95" i="11"/>
  <c r="AL95" i="11"/>
  <c r="AH96" i="11"/>
  <c r="AI96" i="11"/>
  <c r="L95" i="11"/>
  <c r="H96" i="11"/>
  <c r="I96" i="11"/>
  <c r="AC445" i="11"/>
  <c r="C453" i="11"/>
  <c r="R443" i="11"/>
  <c r="AJ96" i="11"/>
  <c r="AK96" i="11"/>
  <c r="AL96" i="11"/>
  <c r="AH97" i="11"/>
  <c r="AI97" i="11"/>
  <c r="J96" i="11"/>
  <c r="K96" i="11"/>
  <c r="L96" i="11"/>
  <c r="H97" i="11"/>
  <c r="I97" i="11"/>
  <c r="AC446" i="11"/>
  <c r="C454" i="11"/>
  <c r="R444" i="11"/>
  <c r="AJ97" i="11"/>
  <c r="AK97" i="11"/>
  <c r="AL97" i="11"/>
  <c r="AH98" i="11"/>
  <c r="J97" i="11"/>
  <c r="K97" i="11"/>
  <c r="AC447" i="11"/>
  <c r="C455" i="11"/>
  <c r="R445" i="11"/>
  <c r="AI98" i="11"/>
  <c r="AJ98" i="11"/>
  <c r="L97" i="11"/>
  <c r="H98" i="11"/>
  <c r="I98" i="11"/>
  <c r="AC448" i="11"/>
  <c r="C456" i="11"/>
  <c r="R446" i="11"/>
  <c r="AK98" i="11"/>
  <c r="AL98" i="11"/>
  <c r="AH99" i="11"/>
  <c r="J98" i="11"/>
  <c r="K98" i="11"/>
  <c r="L98" i="11"/>
  <c r="H99" i="11"/>
  <c r="J99" i="11"/>
  <c r="AC449" i="11"/>
  <c r="C457" i="11"/>
  <c r="R447" i="11"/>
  <c r="AI99" i="11"/>
  <c r="AJ99" i="11"/>
  <c r="I99" i="11"/>
  <c r="K99" i="11"/>
  <c r="L99" i="11"/>
  <c r="H100" i="11"/>
  <c r="I100" i="11"/>
  <c r="AC450" i="11"/>
  <c r="C458" i="11"/>
  <c r="R448" i="11"/>
  <c r="AK99" i="11"/>
  <c r="AL99" i="11"/>
  <c r="AH100" i="11"/>
  <c r="AI100" i="11"/>
  <c r="J100" i="11"/>
  <c r="K100" i="11"/>
  <c r="L100" i="11"/>
  <c r="H101" i="11"/>
  <c r="I101" i="11"/>
  <c r="AC451" i="11"/>
  <c r="C459" i="11"/>
  <c r="R449" i="11"/>
  <c r="AJ100" i="11"/>
  <c r="AK100" i="11"/>
  <c r="AL100" i="11"/>
  <c r="AH101" i="11"/>
  <c r="AI101" i="11"/>
  <c r="AC452" i="11"/>
  <c r="J101" i="11"/>
  <c r="C460" i="11"/>
  <c r="R450" i="11"/>
  <c r="AJ101" i="11"/>
  <c r="AK101" i="11"/>
  <c r="AL101" i="11"/>
  <c r="AH102" i="11"/>
  <c r="AJ102" i="11"/>
  <c r="AC453" i="11"/>
  <c r="K101" i="11"/>
  <c r="L101" i="11"/>
  <c r="H102" i="11"/>
  <c r="I102" i="11"/>
  <c r="C461" i="11"/>
  <c r="R451" i="11"/>
  <c r="AI102" i="11"/>
  <c r="AK102" i="11"/>
  <c r="AL102" i="11"/>
  <c r="AH103" i="11"/>
  <c r="AC454" i="11"/>
  <c r="J102" i="11"/>
  <c r="C462" i="11"/>
  <c r="R452" i="11"/>
  <c r="AI103" i="11"/>
  <c r="AJ103" i="11"/>
  <c r="AC455" i="11"/>
  <c r="K102" i="11"/>
  <c r="B462" i="11"/>
  <c r="C463" i="11"/>
  <c r="R453" i="11"/>
  <c r="AK103" i="11"/>
  <c r="AL103" i="11"/>
  <c r="AH104" i="11"/>
  <c r="AI104" i="11"/>
  <c r="L102" i="11"/>
  <c r="H103" i="11"/>
  <c r="I103" i="11"/>
  <c r="AC456" i="11"/>
  <c r="C464" i="11"/>
  <c r="R454" i="11"/>
  <c r="AJ104" i="11"/>
  <c r="AK104" i="11"/>
  <c r="AL104" i="11"/>
  <c r="AH105" i="11"/>
  <c r="J103" i="11"/>
  <c r="K103" i="11"/>
  <c r="AC457" i="11"/>
  <c r="C465" i="11"/>
  <c r="R455" i="11"/>
  <c r="AI105" i="11"/>
  <c r="AJ105" i="11"/>
  <c r="L103" i="11"/>
  <c r="H104" i="11"/>
  <c r="I104" i="11"/>
  <c r="AC458" i="11"/>
  <c r="C466" i="11"/>
  <c r="R456" i="11"/>
  <c r="J104" i="11"/>
  <c r="K104" i="11"/>
  <c r="AK105" i="11"/>
  <c r="AL105" i="11"/>
  <c r="AH106" i="11"/>
  <c r="AC459" i="11"/>
  <c r="C467" i="11"/>
  <c r="R457" i="11"/>
  <c r="AI106" i="11"/>
  <c r="AJ106" i="11"/>
  <c r="L104" i="11"/>
  <c r="H105" i="11"/>
  <c r="J105" i="11"/>
  <c r="AC460" i="11"/>
  <c r="C468" i="11"/>
  <c r="R458" i="11"/>
  <c r="AK106" i="11"/>
  <c r="AL106" i="11"/>
  <c r="AH107" i="11"/>
  <c r="AI107" i="11"/>
  <c r="I105" i="11"/>
  <c r="K105" i="11"/>
  <c r="AC461" i="11"/>
  <c r="C469" i="11"/>
  <c r="R459" i="11"/>
  <c r="AJ107" i="11"/>
  <c r="AK107" i="11"/>
  <c r="AL107" i="11"/>
  <c r="AH108" i="11"/>
  <c r="L105" i="11"/>
  <c r="H106" i="11"/>
  <c r="I106" i="11"/>
  <c r="AC462" i="11"/>
  <c r="C470" i="11"/>
  <c r="R460" i="11"/>
  <c r="AI108" i="11"/>
  <c r="AJ108" i="11"/>
  <c r="J106" i="11"/>
  <c r="K106" i="11"/>
  <c r="L106" i="11"/>
  <c r="H107" i="11"/>
  <c r="I107" i="11"/>
  <c r="AC463" i="11"/>
  <c r="C471" i="11"/>
  <c r="R461" i="11"/>
  <c r="AK108" i="11"/>
  <c r="AL108" i="11"/>
  <c r="AH109" i="11"/>
  <c r="AI109" i="11"/>
  <c r="J107" i="11"/>
  <c r="K107" i="11"/>
  <c r="AC464" i="11"/>
  <c r="C472" i="11"/>
  <c r="R462" i="11"/>
  <c r="AJ109" i="11"/>
  <c r="AK109" i="11"/>
  <c r="AL109" i="11"/>
  <c r="AH110" i="11"/>
  <c r="L107" i="11"/>
  <c r="H108" i="11"/>
  <c r="I108" i="11"/>
  <c r="AC465" i="11"/>
  <c r="C473" i="11"/>
  <c r="R463" i="11"/>
  <c r="AI110" i="11"/>
  <c r="AJ110" i="11"/>
  <c r="J108" i="11"/>
  <c r="K108" i="11"/>
  <c r="L108" i="11"/>
  <c r="H109" i="11"/>
  <c r="I109" i="11"/>
  <c r="AC466" i="11"/>
  <c r="C474" i="11"/>
  <c r="R464" i="11"/>
  <c r="AK110" i="11"/>
  <c r="AL110" i="11"/>
  <c r="AH111" i="11"/>
  <c r="AJ111" i="11"/>
  <c r="AC467" i="11"/>
  <c r="J109" i="11"/>
  <c r="B474" i="11"/>
  <c r="C475" i="11"/>
  <c r="R465" i="11"/>
  <c r="AI111" i="11"/>
  <c r="AK111" i="11"/>
  <c r="AL111" i="11"/>
  <c r="AH112" i="11"/>
  <c r="AI112" i="11"/>
  <c r="AC468" i="11"/>
  <c r="K109" i="11"/>
  <c r="L109" i="11"/>
  <c r="H110" i="11"/>
  <c r="C476" i="11"/>
  <c r="R466" i="11"/>
  <c r="AJ112" i="11"/>
  <c r="AK112" i="11"/>
  <c r="AL112" i="11"/>
  <c r="AH113" i="11"/>
  <c r="J110" i="11"/>
  <c r="I110" i="11"/>
  <c r="AC469" i="11"/>
  <c r="C477" i="11"/>
  <c r="R467" i="11"/>
  <c r="AI113" i="11"/>
  <c r="AJ113" i="11"/>
  <c r="AC470" i="11"/>
  <c r="K110" i="11"/>
  <c r="L110" i="11"/>
  <c r="H111" i="11"/>
  <c r="I111" i="11"/>
  <c r="C478" i="11"/>
  <c r="R468" i="11"/>
  <c r="AK113" i="11"/>
  <c r="AL113" i="11"/>
  <c r="AH114" i="11"/>
  <c r="AC471" i="11"/>
  <c r="J111" i="11"/>
  <c r="K111" i="11"/>
  <c r="L111" i="11"/>
  <c r="H112" i="11"/>
  <c r="I112" i="11"/>
  <c r="C479" i="11"/>
  <c r="R469" i="11"/>
  <c r="AI114" i="11"/>
  <c r="AJ114" i="11"/>
  <c r="AC472" i="11"/>
  <c r="J112" i="11"/>
  <c r="K112" i="11"/>
  <c r="L112" i="11"/>
  <c r="H113" i="11"/>
  <c r="I113" i="11"/>
  <c r="C480" i="11"/>
  <c r="R470" i="11"/>
  <c r="AK114" i="11"/>
  <c r="AL114" i="11"/>
  <c r="AH115" i="11"/>
  <c r="AI115" i="11"/>
  <c r="AC473" i="11"/>
  <c r="J113" i="11"/>
  <c r="C481" i="11"/>
  <c r="R471" i="11"/>
  <c r="AJ115" i="11"/>
  <c r="AK115" i="11"/>
  <c r="AL115" i="11"/>
  <c r="AH116" i="11"/>
  <c r="AC474" i="11"/>
  <c r="K113" i="11"/>
  <c r="L113" i="11"/>
  <c r="H114" i="11"/>
  <c r="C482" i="11"/>
  <c r="R472" i="11"/>
  <c r="AI116" i="11"/>
  <c r="AJ116" i="11"/>
  <c r="J114" i="11"/>
  <c r="I114" i="11"/>
  <c r="AC475" i="11"/>
  <c r="C483" i="11"/>
  <c r="R473" i="11"/>
  <c r="AK116" i="11"/>
  <c r="AL116" i="11"/>
  <c r="AH117" i="11"/>
  <c r="AI117" i="11"/>
  <c r="K114" i="11"/>
  <c r="AC476" i="11"/>
  <c r="C484" i="11"/>
  <c r="R474" i="11"/>
  <c r="AJ117" i="11"/>
  <c r="AK117" i="11"/>
  <c r="AL117" i="11"/>
  <c r="AH118" i="11"/>
  <c r="L114" i="11"/>
  <c r="H115" i="11"/>
  <c r="I115" i="11"/>
  <c r="AC477" i="11"/>
  <c r="C485" i="11"/>
  <c r="R475" i="11"/>
  <c r="AI118" i="11"/>
  <c r="AJ118" i="11"/>
  <c r="J115" i="11"/>
  <c r="K115" i="11"/>
  <c r="L115" i="11"/>
  <c r="H116" i="11"/>
  <c r="I116" i="11"/>
  <c r="AC478" i="11"/>
  <c r="C486" i="11"/>
  <c r="R476" i="11"/>
  <c r="AK118" i="11"/>
  <c r="AL118" i="11"/>
  <c r="AH119" i="11"/>
  <c r="AJ119" i="11"/>
  <c r="J116" i="11"/>
  <c r="K116" i="11"/>
  <c r="AC479" i="11"/>
  <c r="C487" i="11"/>
  <c r="B486" i="11"/>
  <c r="R477" i="11"/>
  <c r="AI119" i="11"/>
  <c r="AK119" i="11"/>
  <c r="AL119" i="11"/>
  <c r="AH120" i="11"/>
  <c r="L116" i="11"/>
  <c r="H117" i="11"/>
  <c r="J117" i="11"/>
  <c r="AC480" i="11"/>
  <c r="C488" i="11"/>
  <c r="R478" i="11"/>
  <c r="AI120" i="11"/>
  <c r="AJ120" i="11"/>
  <c r="I117" i="11"/>
  <c r="K117" i="11"/>
  <c r="AC481" i="11"/>
  <c r="C489" i="11"/>
  <c r="R479" i="11"/>
  <c r="AK120" i="11"/>
  <c r="AL120" i="11"/>
  <c r="AH121" i="11"/>
  <c r="L117" i="11"/>
  <c r="H118" i="11"/>
  <c r="J118" i="11"/>
  <c r="AC482" i="11"/>
  <c r="C490" i="11"/>
  <c r="R480" i="11"/>
  <c r="AI121" i="11"/>
  <c r="AJ121" i="11"/>
  <c r="I118" i="11"/>
  <c r="K118" i="11"/>
  <c r="L118" i="11"/>
  <c r="H119" i="11"/>
  <c r="J119" i="11"/>
  <c r="AC483" i="11"/>
  <c r="C491" i="11"/>
  <c r="R481" i="11"/>
  <c r="AK121" i="11"/>
  <c r="AL121" i="11"/>
  <c r="AH122" i="11"/>
  <c r="AI122" i="11"/>
  <c r="I119" i="11"/>
  <c r="K119" i="11"/>
  <c r="AC484" i="11"/>
  <c r="C492" i="11"/>
  <c r="R482" i="11"/>
  <c r="AJ122" i="11"/>
  <c r="AK122" i="11"/>
  <c r="AL122" i="11"/>
  <c r="AH123" i="11"/>
  <c r="L119" i="11"/>
  <c r="H120" i="11"/>
  <c r="J120" i="11"/>
  <c r="AC485" i="11"/>
  <c r="C493" i="11"/>
  <c r="R483" i="11"/>
  <c r="I120" i="11"/>
  <c r="K120" i="11"/>
  <c r="AI123" i="11"/>
  <c r="AJ123" i="11"/>
  <c r="AC486" i="11"/>
  <c r="C494" i="11"/>
  <c r="R484" i="11"/>
  <c r="AK123" i="11"/>
  <c r="AL123" i="11"/>
  <c r="AH124" i="11"/>
  <c r="AI124" i="11"/>
  <c r="L120" i="11"/>
  <c r="H121" i="11"/>
  <c r="J121" i="11"/>
  <c r="AC487" i="11"/>
  <c r="C495" i="11"/>
  <c r="R485" i="11"/>
  <c r="AJ124" i="11"/>
  <c r="AK124" i="11"/>
  <c r="AL124" i="11"/>
  <c r="AH125" i="11"/>
  <c r="I121" i="11"/>
  <c r="K121" i="11"/>
  <c r="L121" i="11"/>
  <c r="H122" i="11"/>
  <c r="AC488" i="11"/>
  <c r="C496" i="11"/>
  <c r="R486" i="11"/>
  <c r="AI125" i="11"/>
  <c r="AJ125" i="11"/>
  <c r="J122" i="11"/>
  <c r="I122" i="11"/>
  <c r="AC489" i="11"/>
  <c r="C497" i="11"/>
  <c r="R487" i="11"/>
  <c r="AK125" i="11"/>
  <c r="AL125" i="11"/>
  <c r="AH126" i="11"/>
  <c r="AI126" i="11"/>
  <c r="K122" i="11"/>
  <c r="L122" i="11"/>
  <c r="H123" i="11"/>
  <c r="I123" i="11"/>
  <c r="AC490" i="11"/>
  <c r="R488" i="11"/>
  <c r="AJ126" i="11"/>
  <c r="AK126" i="11"/>
  <c r="AL126" i="11"/>
  <c r="AH127" i="11"/>
  <c r="J123" i="11"/>
  <c r="K123" i="11"/>
  <c r="L123" i="11"/>
  <c r="H124" i="11"/>
  <c r="I124" i="11"/>
  <c r="AC491" i="11"/>
  <c r="R489" i="11"/>
  <c r="AI127" i="11"/>
  <c r="AJ127" i="11"/>
  <c r="J124" i="11"/>
  <c r="K124" i="11"/>
  <c r="L124" i="11"/>
  <c r="H125" i="11"/>
  <c r="I125" i="11"/>
  <c r="AC492" i="11"/>
  <c r="R490" i="11"/>
  <c r="AK127" i="11"/>
  <c r="AL127" i="11"/>
  <c r="AH128" i="11"/>
  <c r="AI128" i="11"/>
  <c r="J125" i="11"/>
  <c r="K125" i="11"/>
  <c r="L125" i="11"/>
  <c r="H126" i="11"/>
  <c r="I126" i="11"/>
  <c r="AC493" i="11"/>
  <c r="R491" i="11"/>
  <c r="AJ128" i="11"/>
  <c r="AK128" i="11"/>
  <c r="AL128" i="11"/>
  <c r="AH129" i="11"/>
  <c r="AI129" i="11"/>
  <c r="AC494" i="11"/>
  <c r="J126" i="11"/>
  <c r="R492" i="11"/>
  <c r="AJ129" i="11"/>
  <c r="AK129" i="11"/>
  <c r="AL129" i="11"/>
  <c r="AH130" i="11"/>
  <c r="AJ130" i="11"/>
  <c r="AC495" i="11"/>
  <c r="K126" i="11"/>
  <c r="R493" i="11"/>
  <c r="AI130" i="11"/>
  <c r="AK130" i="11"/>
  <c r="AL130" i="11"/>
  <c r="AH131" i="11"/>
  <c r="L126" i="11"/>
  <c r="H127" i="11"/>
  <c r="I127" i="11"/>
  <c r="AC496" i="11"/>
  <c r="R494" i="11"/>
  <c r="AI131" i="11"/>
  <c r="AJ131" i="11"/>
  <c r="J127" i="11"/>
  <c r="K127" i="11"/>
  <c r="AC497" i="11"/>
  <c r="R495" i="11"/>
  <c r="AK131" i="11"/>
  <c r="AL131" i="11"/>
  <c r="AH132" i="11"/>
  <c r="L127" i="11"/>
  <c r="H128" i="11"/>
  <c r="R496" i="11"/>
  <c r="AI132" i="11"/>
  <c r="AJ132" i="11"/>
  <c r="I128" i="11"/>
  <c r="J128" i="11"/>
  <c r="R497" i="11"/>
  <c r="AK132" i="11"/>
  <c r="AL132" i="11"/>
  <c r="AH133" i="11"/>
  <c r="AI133" i="11"/>
  <c r="K128" i="11"/>
  <c r="L128" i="11"/>
  <c r="H129" i="11"/>
  <c r="AJ133" i="11"/>
  <c r="AK133" i="11"/>
  <c r="AL133" i="11"/>
  <c r="AH134" i="11"/>
  <c r="I129" i="11"/>
  <c r="J129" i="11"/>
  <c r="AI134" i="11"/>
  <c r="AJ134" i="11"/>
  <c r="K129" i="11"/>
  <c r="L129" i="11"/>
  <c r="H130" i="11"/>
  <c r="AK134" i="11"/>
  <c r="AL134" i="11"/>
  <c r="AH135" i="11"/>
  <c r="I130" i="11"/>
  <c r="J130" i="11"/>
  <c r="AI135" i="11"/>
  <c r="AJ135" i="11"/>
  <c r="K130" i="11"/>
  <c r="AK135" i="11"/>
  <c r="AL135" i="11"/>
  <c r="AH136" i="11"/>
  <c r="L130" i="11"/>
  <c r="H131" i="11"/>
  <c r="AI136" i="11"/>
  <c r="AJ136" i="11"/>
  <c r="I131" i="11"/>
  <c r="J131" i="11"/>
  <c r="AK136" i="11"/>
  <c r="AL136" i="11"/>
  <c r="AH137" i="11"/>
  <c r="K131" i="11"/>
  <c r="L131" i="11"/>
  <c r="H132" i="11"/>
  <c r="I132" i="11"/>
  <c r="AI137" i="11"/>
  <c r="AJ137" i="11"/>
  <c r="J132" i="11"/>
  <c r="K132" i="11"/>
  <c r="L132" i="11"/>
  <c r="H133" i="11"/>
  <c r="AK137" i="11"/>
  <c r="AL137" i="11"/>
  <c r="AH138" i="11"/>
  <c r="AI138" i="11"/>
  <c r="I133" i="11"/>
  <c r="J133" i="11"/>
  <c r="AJ138" i="11"/>
  <c r="AK138" i="11"/>
  <c r="AL138" i="11"/>
  <c r="AH139" i="11"/>
  <c r="K133" i="11"/>
  <c r="L133" i="11"/>
  <c r="H134" i="11"/>
  <c r="I134" i="11"/>
  <c r="AI139" i="11"/>
  <c r="AJ139" i="11"/>
  <c r="J134" i="11"/>
  <c r="K134" i="11"/>
  <c r="L134" i="11"/>
  <c r="H135" i="11"/>
  <c r="AK139" i="11"/>
  <c r="AL139" i="11"/>
  <c r="AH140" i="11"/>
  <c r="I135" i="11"/>
  <c r="J135" i="11"/>
  <c r="AI140" i="11"/>
  <c r="AJ140" i="11"/>
  <c r="K135" i="11"/>
  <c r="L135" i="11"/>
  <c r="H136" i="11"/>
  <c r="AK140" i="11"/>
  <c r="AL140" i="11"/>
  <c r="AH141" i="11"/>
  <c r="I136" i="11"/>
  <c r="J136" i="11"/>
  <c r="AI141" i="11"/>
  <c r="AJ141" i="11"/>
  <c r="K136" i="11"/>
  <c r="L136" i="11"/>
  <c r="H137" i="11"/>
  <c r="I137" i="11"/>
  <c r="AK141" i="11"/>
  <c r="AL141" i="11"/>
  <c r="AH142" i="11"/>
  <c r="J137" i="11"/>
  <c r="K137" i="11"/>
  <c r="L137" i="11"/>
  <c r="H138" i="11"/>
  <c r="AI142" i="11"/>
  <c r="AJ142" i="11"/>
  <c r="I138" i="11"/>
  <c r="J138" i="11"/>
  <c r="AK142" i="11"/>
  <c r="AL142" i="11"/>
  <c r="AH143" i="11"/>
  <c r="AI143" i="11"/>
  <c r="K138" i="11"/>
  <c r="L138" i="11"/>
  <c r="H139" i="11"/>
  <c r="AJ143" i="11"/>
  <c r="AK143" i="11"/>
  <c r="AL143" i="11"/>
  <c r="AH144" i="11"/>
  <c r="I139" i="11"/>
  <c r="J139" i="11"/>
  <c r="AI144" i="11"/>
  <c r="AJ144" i="11"/>
  <c r="K139" i="11"/>
  <c r="AK144" i="11"/>
  <c r="AL144" i="11"/>
  <c r="AH145" i="11"/>
  <c r="L139" i="11"/>
  <c r="H140" i="11"/>
  <c r="AI145" i="11"/>
  <c r="AJ145" i="11"/>
  <c r="I140" i="11"/>
  <c r="J140" i="11"/>
  <c r="AK145" i="11"/>
  <c r="AL145" i="11"/>
  <c r="AH146" i="11"/>
  <c r="K140" i="11"/>
  <c r="AI146" i="11"/>
  <c r="AJ146" i="11"/>
  <c r="L140" i="11"/>
  <c r="H141" i="11"/>
  <c r="AK146" i="11"/>
  <c r="AL146" i="11"/>
  <c r="AH147" i="11"/>
  <c r="I141" i="11"/>
  <c r="J141" i="11"/>
  <c r="AI147" i="11"/>
  <c r="AJ147" i="11"/>
  <c r="K141" i="11"/>
  <c r="AK147" i="11"/>
  <c r="AL147" i="11"/>
  <c r="AH148" i="11"/>
  <c r="AI148" i="11"/>
  <c r="L141" i="11"/>
  <c r="H142" i="11"/>
  <c r="AJ148" i="11"/>
  <c r="AK148" i="11"/>
  <c r="AL148" i="11"/>
  <c r="AH149" i="11"/>
  <c r="I142" i="11"/>
  <c r="J142" i="11"/>
  <c r="AJ149" i="11"/>
  <c r="AI149" i="11"/>
  <c r="K142" i="11"/>
  <c r="AK149" i="11"/>
  <c r="AL149" i="11"/>
  <c r="AH150" i="11"/>
  <c r="AJ150" i="11"/>
  <c r="L142" i="11"/>
  <c r="H143" i="11"/>
  <c r="AI150" i="11"/>
  <c r="AK150" i="11"/>
  <c r="AL150" i="11"/>
  <c r="AH151" i="11"/>
  <c r="AI151" i="11"/>
  <c r="I143" i="11"/>
  <c r="J143" i="11"/>
  <c r="AJ151" i="11"/>
  <c r="AK151" i="11"/>
  <c r="AL151" i="11"/>
  <c r="AH152" i="11"/>
  <c r="K143" i="11"/>
  <c r="L143" i="11"/>
  <c r="H144" i="11"/>
  <c r="AI152" i="11"/>
  <c r="AJ152" i="11"/>
  <c r="I144" i="11"/>
  <c r="J144" i="11"/>
  <c r="AK152" i="11"/>
  <c r="AL152" i="11"/>
  <c r="AH153" i="11"/>
  <c r="K144" i="11"/>
  <c r="L144" i="11"/>
  <c r="H145" i="11"/>
  <c r="I145" i="11"/>
  <c r="AI153" i="11"/>
  <c r="AJ153" i="11"/>
  <c r="J145" i="11"/>
  <c r="K145" i="11"/>
  <c r="L145" i="11"/>
  <c r="H146" i="11"/>
  <c r="AK153" i="11"/>
  <c r="AL153" i="11"/>
  <c r="AH154" i="11"/>
  <c r="I146" i="11"/>
  <c r="J146" i="11"/>
  <c r="AI154" i="11"/>
  <c r="AJ154" i="11"/>
  <c r="K146" i="11"/>
  <c r="L146" i="11"/>
  <c r="H147" i="11"/>
  <c r="I147" i="11"/>
  <c r="AK154" i="11"/>
  <c r="AL154" i="11"/>
  <c r="AH155" i="11"/>
  <c r="J147" i="11"/>
  <c r="K147" i="11"/>
  <c r="L147" i="11"/>
  <c r="H148" i="11"/>
  <c r="I148" i="11"/>
  <c r="AI155" i="11"/>
  <c r="AJ155" i="11"/>
  <c r="J148" i="11"/>
  <c r="K148" i="11"/>
  <c r="L148" i="11"/>
  <c r="H149" i="11"/>
  <c r="J149" i="11"/>
  <c r="AK155" i="11"/>
  <c r="AL155" i="11"/>
  <c r="AH156" i="11"/>
  <c r="AI156" i="11"/>
  <c r="I149" i="11"/>
  <c r="K149" i="11"/>
  <c r="L149" i="11"/>
  <c r="H150" i="11"/>
  <c r="AJ156" i="11"/>
  <c r="AK156" i="11"/>
  <c r="AL156" i="11"/>
  <c r="AH157" i="11"/>
  <c r="AI157" i="11"/>
  <c r="I150" i="11"/>
  <c r="J150" i="11"/>
  <c r="AJ157" i="11"/>
  <c r="AK157" i="11"/>
  <c r="AL157" i="11"/>
  <c r="AH158" i="11"/>
  <c r="K150" i="11"/>
  <c r="L150" i="11"/>
  <c r="H151" i="11"/>
  <c r="AI158" i="11"/>
  <c r="AJ158" i="11"/>
  <c r="I151" i="11"/>
  <c r="J151" i="11"/>
  <c r="AK158" i="11"/>
  <c r="AL158" i="11"/>
  <c r="AH159" i="11"/>
  <c r="K151" i="11"/>
  <c r="L151" i="11"/>
  <c r="H152" i="11"/>
  <c r="AI159" i="11"/>
  <c r="AJ159" i="11"/>
  <c r="I152" i="11"/>
  <c r="J152" i="11"/>
  <c r="AK159" i="11"/>
  <c r="AL159" i="11"/>
  <c r="AH160" i="11"/>
  <c r="AI160" i="11"/>
  <c r="K152" i="11"/>
  <c r="L152" i="11"/>
  <c r="H153" i="11"/>
  <c r="AJ160" i="11"/>
  <c r="AK160" i="11"/>
  <c r="AL160" i="11"/>
  <c r="AH161" i="11"/>
  <c r="I153" i="11"/>
  <c r="J153" i="11"/>
  <c r="AI161" i="11"/>
  <c r="AJ161" i="11"/>
  <c r="K153" i="11"/>
  <c r="L153" i="11"/>
  <c r="H154" i="11"/>
  <c r="AK161" i="11"/>
  <c r="AL161" i="11"/>
  <c r="AH162" i="11"/>
  <c r="AI162" i="11"/>
  <c r="I154" i="11"/>
  <c r="J154" i="11"/>
  <c r="AJ162" i="11"/>
  <c r="AK162" i="11"/>
  <c r="AL162" i="11"/>
  <c r="AH163" i="11"/>
  <c r="K154" i="11"/>
  <c r="L154" i="11"/>
  <c r="H155" i="11"/>
  <c r="I155" i="11"/>
  <c r="AI163" i="11"/>
  <c r="AJ163" i="11"/>
  <c r="J155" i="11"/>
  <c r="K155" i="11"/>
  <c r="L155" i="11"/>
  <c r="H156" i="11"/>
  <c r="J156" i="11"/>
  <c r="AK163" i="11"/>
  <c r="AL163" i="11"/>
  <c r="AH164" i="11"/>
  <c r="I156" i="11"/>
  <c r="K156" i="11"/>
  <c r="L156" i="11"/>
  <c r="H157" i="11"/>
  <c r="I157" i="11"/>
  <c r="AI164" i="11"/>
  <c r="AJ164" i="11"/>
  <c r="J157" i="11"/>
  <c r="K157" i="11"/>
  <c r="L157" i="11"/>
  <c r="H158" i="11"/>
  <c r="I158" i="11"/>
  <c r="AK164" i="11"/>
  <c r="AL164" i="11"/>
  <c r="AH165" i="11"/>
  <c r="J158" i="11"/>
  <c r="K158" i="11"/>
  <c r="L158" i="11"/>
  <c r="H159" i="11"/>
  <c r="I159" i="11"/>
  <c r="AI165" i="11"/>
  <c r="AJ165" i="11"/>
  <c r="J159" i="11"/>
  <c r="AK165" i="11"/>
  <c r="AL165" i="11"/>
  <c r="AH166" i="11"/>
  <c r="K159" i="11"/>
  <c r="L159" i="11"/>
  <c r="H160" i="11"/>
  <c r="AI166" i="11"/>
  <c r="AJ166" i="11"/>
  <c r="J160" i="11"/>
  <c r="I160" i="11"/>
  <c r="AK166" i="11"/>
  <c r="AL166" i="11"/>
  <c r="AH167" i="11"/>
  <c r="AI167" i="11"/>
  <c r="K160" i="11"/>
  <c r="L160" i="11"/>
  <c r="H161" i="11"/>
  <c r="I161" i="11"/>
  <c r="AJ167" i="11"/>
  <c r="AK167" i="11"/>
  <c r="AL167" i="11"/>
  <c r="AH168" i="11"/>
  <c r="J161" i="11"/>
  <c r="K161" i="11"/>
  <c r="L161" i="11"/>
  <c r="H162" i="11"/>
  <c r="AI168" i="11"/>
  <c r="AJ168" i="11"/>
  <c r="J162" i="11"/>
  <c r="I162" i="11"/>
  <c r="K162" i="11"/>
  <c r="L162" i="11"/>
  <c r="H163" i="11"/>
  <c r="I163" i="11"/>
  <c r="AK168" i="11"/>
  <c r="AL168" i="11"/>
  <c r="AH169" i="11"/>
  <c r="J163" i="11"/>
  <c r="K163" i="11"/>
  <c r="L163" i="11"/>
  <c r="H164" i="11"/>
  <c r="I164" i="11"/>
  <c r="AI169" i="11"/>
  <c r="AJ169" i="11"/>
  <c r="J164" i="11"/>
  <c r="K164" i="11"/>
  <c r="L164" i="11"/>
  <c r="H165" i="11"/>
  <c r="I165" i="11"/>
  <c r="AK169" i="11"/>
  <c r="AL169" i="11"/>
  <c r="AH170" i="11"/>
  <c r="AI170" i="11"/>
  <c r="AJ170" i="11"/>
  <c r="J165" i="11"/>
  <c r="AK170" i="11"/>
  <c r="AL170" i="11"/>
  <c r="AH171" i="11"/>
  <c r="K165" i="11"/>
  <c r="L165" i="11"/>
  <c r="H166" i="11"/>
  <c r="I166" i="11"/>
  <c r="AI171" i="11"/>
  <c r="AJ171" i="11"/>
  <c r="J166" i="11"/>
  <c r="AK171" i="11"/>
  <c r="AL171" i="11"/>
  <c r="AH172" i="11"/>
  <c r="AI172" i="11"/>
  <c r="K166" i="11"/>
  <c r="L166" i="11"/>
  <c r="H167" i="11"/>
  <c r="I167" i="11"/>
  <c r="AJ172" i="11"/>
  <c r="AK172" i="11"/>
  <c r="AL172" i="11"/>
  <c r="AH173" i="11"/>
  <c r="AJ173" i="11"/>
  <c r="J167" i="11"/>
  <c r="AI173" i="11"/>
  <c r="AK173" i="11"/>
  <c r="AL173" i="11"/>
  <c r="AH174" i="11"/>
  <c r="K167" i="11"/>
  <c r="L167" i="11"/>
  <c r="H168" i="11"/>
  <c r="I168" i="11"/>
  <c r="AI174" i="11"/>
  <c r="AJ174" i="11"/>
  <c r="J168" i="11"/>
  <c r="AK174" i="11"/>
  <c r="AL174" i="11"/>
  <c r="AH175" i="11"/>
  <c r="AI175" i="11"/>
  <c r="K168" i="11"/>
  <c r="L168" i="11"/>
  <c r="H169" i="11"/>
  <c r="I169" i="11"/>
  <c r="AJ175" i="11"/>
  <c r="AK175" i="11"/>
  <c r="AL175" i="11"/>
  <c r="AH176" i="11"/>
  <c r="AJ176" i="11"/>
  <c r="J169" i="11"/>
  <c r="AI176" i="11"/>
  <c r="AK176" i="11"/>
  <c r="AL176" i="11"/>
  <c r="AH177" i="11"/>
  <c r="AI177" i="11"/>
  <c r="K169" i="11"/>
  <c r="L169" i="11"/>
  <c r="H170" i="11"/>
  <c r="I170" i="11"/>
  <c r="AJ177" i="11"/>
  <c r="AK177" i="11"/>
  <c r="AL177" i="11"/>
  <c r="AH178" i="11"/>
  <c r="J170" i="11"/>
  <c r="AI178" i="11"/>
  <c r="AJ178" i="11"/>
  <c r="K170" i="11"/>
  <c r="L170" i="11"/>
  <c r="H171" i="11"/>
  <c r="I171" i="11"/>
  <c r="AK178" i="11"/>
  <c r="AL178" i="11"/>
  <c r="AH179" i="11"/>
  <c r="J171" i="11"/>
  <c r="AI179" i="11"/>
  <c r="AJ179" i="11"/>
  <c r="K171" i="11"/>
  <c r="L171" i="11"/>
  <c r="H172" i="11"/>
  <c r="I172" i="11"/>
  <c r="AK179" i="11"/>
  <c r="AL179" i="11"/>
  <c r="AH180" i="11"/>
  <c r="AI180" i="11"/>
  <c r="J172" i="11"/>
  <c r="K172" i="11"/>
  <c r="L172" i="11"/>
  <c r="H173" i="11"/>
  <c r="I173" i="11"/>
  <c r="AJ180" i="11"/>
  <c r="AK180" i="11"/>
  <c r="AL180" i="11"/>
  <c r="AH181" i="11"/>
  <c r="J173" i="11"/>
  <c r="AI181" i="11"/>
  <c r="AJ181" i="11"/>
  <c r="K173" i="11"/>
  <c r="L173" i="11"/>
  <c r="H174" i="11"/>
  <c r="I174" i="11"/>
  <c r="AK181" i="11"/>
  <c r="AL181" i="11"/>
  <c r="AH182" i="11"/>
  <c r="AI182" i="11"/>
  <c r="J174" i="11"/>
  <c r="AJ182" i="11"/>
  <c r="AK182" i="11"/>
  <c r="AL182" i="11"/>
  <c r="AH183" i="11"/>
  <c r="K174" i="11"/>
  <c r="L174" i="11"/>
  <c r="H175" i="11"/>
  <c r="I175" i="11"/>
  <c r="AI183" i="11"/>
  <c r="AJ183" i="11"/>
  <c r="J175" i="11"/>
  <c r="AK183" i="11"/>
  <c r="AL183" i="11"/>
  <c r="AH184" i="11"/>
  <c r="AI184" i="11"/>
  <c r="K175" i="11"/>
  <c r="L175" i="11"/>
  <c r="H176" i="11"/>
  <c r="I176" i="11"/>
  <c r="AJ184" i="11"/>
  <c r="AK184" i="11"/>
  <c r="AL184" i="11"/>
  <c r="AH185" i="11"/>
  <c r="J176" i="11"/>
  <c r="K176" i="11"/>
  <c r="L176" i="11"/>
  <c r="H177" i="11"/>
  <c r="I177" i="11"/>
  <c r="AI185" i="11"/>
  <c r="AJ185" i="11"/>
  <c r="J177" i="11"/>
  <c r="K177" i="11"/>
  <c r="L177" i="11"/>
  <c r="H178" i="11"/>
  <c r="I178" i="11"/>
  <c r="AK185" i="11"/>
  <c r="AL185" i="11"/>
  <c r="AH186" i="11"/>
  <c r="AI186" i="11"/>
  <c r="J178" i="11"/>
  <c r="K178" i="11"/>
  <c r="L178" i="11"/>
  <c r="H179" i="11"/>
  <c r="I179" i="11"/>
  <c r="AJ186" i="11"/>
  <c r="AK186" i="11"/>
  <c r="AL186" i="11"/>
  <c r="AH187" i="11"/>
  <c r="J179" i="11"/>
  <c r="AI187" i="11"/>
  <c r="AJ187" i="11"/>
  <c r="K179" i="11"/>
  <c r="L179" i="11"/>
  <c r="H180" i="11"/>
  <c r="I180" i="11"/>
  <c r="AK187" i="11"/>
  <c r="AL187" i="11"/>
  <c r="AH188" i="11"/>
  <c r="AI188" i="11"/>
  <c r="J180" i="11"/>
  <c r="AJ188" i="11"/>
  <c r="AK188" i="11"/>
  <c r="AL188" i="11"/>
  <c r="AH189" i="11"/>
  <c r="K180" i="11"/>
  <c r="L180" i="11"/>
  <c r="H181" i="11"/>
  <c r="I181" i="11"/>
  <c r="AI189" i="11"/>
  <c r="AJ189" i="11"/>
  <c r="J181" i="11"/>
  <c r="AK189" i="11"/>
  <c r="AL189" i="11"/>
  <c r="AH190" i="11"/>
  <c r="AI190" i="11"/>
  <c r="K181" i="11"/>
  <c r="L181" i="11"/>
  <c r="H182" i="11"/>
  <c r="I182" i="11"/>
  <c r="AJ190" i="11"/>
  <c r="AK190" i="11"/>
  <c r="AL190" i="11"/>
  <c r="AH191" i="11"/>
  <c r="AI191" i="11"/>
  <c r="J182" i="11"/>
  <c r="K182" i="11"/>
  <c r="L182" i="11"/>
  <c r="H183" i="11"/>
  <c r="I183" i="11"/>
  <c r="AJ191" i="11"/>
  <c r="AK191" i="11"/>
  <c r="AL191" i="11"/>
  <c r="AH192" i="11"/>
  <c r="AI192" i="11"/>
  <c r="J183" i="11"/>
  <c r="K183" i="11"/>
  <c r="L183" i="11"/>
  <c r="H184" i="11"/>
  <c r="AJ192" i="11"/>
  <c r="AK192" i="11"/>
  <c r="AL192" i="11"/>
  <c r="AH193" i="11"/>
  <c r="J184" i="11"/>
  <c r="I184" i="11"/>
  <c r="AI193" i="11"/>
  <c r="AJ193" i="11"/>
  <c r="K184" i="11"/>
  <c r="L184" i="11"/>
  <c r="H185" i="11"/>
  <c r="AK193" i="11"/>
  <c r="AL193" i="11"/>
  <c r="AH194" i="11"/>
  <c r="J185" i="11"/>
  <c r="I185" i="11"/>
  <c r="AI194" i="11"/>
  <c r="AJ194" i="11"/>
  <c r="K185" i="11"/>
  <c r="L185" i="11"/>
  <c r="H186" i="11"/>
  <c r="I186" i="11"/>
  <c r="AK194" i="11"/>
  <c r="AL194" i="11"/>
  <c r="AH195" i="11"/>
  <c r="J186" i="11"/>
  <c r="K186" i="11"/>
  <c r="L186" i="11"/>
  <c r="H187" i="11"/>
  <c r="AI195" i="11"/>
  <c r="AJ195" i="11"/>
  <c r="J187" i="11"/>
  <c r="I187" i="11"/>
  <c r="AK195" i="11"/>
  <c r="AL195" i="11"/>
  <c r="AH196" i="11"/>
  <c r="AI196" i="11"/>
  <c r="K187" i="11"/>
  <c r="L187" i="11"/>
  <c r="H188" i="11"/>
  <c r="J188" i="11"/>
  <c r="I188" i="11"/>
  <c r="K188" i="11"/>
  <c r="L188" i="11"/>
  <c r="H189" i="11"/>
  <c r="I189" i="11"/>
  <c r="AJ196" i="11"/>
  <c r="AK196" i="11"/>
  <c r="AL196" i="11"/>
  <c r="AH197" i="11"/>
  <c r="AJ197" i="11"/>
  <c r="AI197" i="11"/>
  <c r="J189" i="11"/>
  <c r="K189" i="11"/>
  <c r="L189" i="11"/>
  <c r="H190" i="11"/>
  <c r="I190" i="11"/>
  <c r="AK197" i="11"/>
  <c r="AL197" i="11"/>
  <c r="AH198" i="11"/>
  <c r="AI198" i="11"/>
  <c r="J190" i="11"/>
  <c r="K190" i="11"/>
  <c r="L190" i="11"/>
  <c r="H191" i="11"/>
  <c r="I191" i="11"/>
  <c r="AJ198" i="11"/>
  <c r="AK198" i="11"/>
  <c r="AL198" i="11"/>
  <c r="AH199" i="11"/>
  <c r="J191" i="11"/>
  <c r="AI199" i="11"/>
  <c r="AJ199" i="11"/>
  <c r="K191" i="11"/>
  <c r="L191" i="11"/>
  <c r="H192" i="11"/>
  <c r="I192" i="11"/>
  <c r="AK199" i="11"/>
  <c r="AL199" i="11"/>
  <c r="AH200" i="11"/>
  <c r="AI200" i="11"/>
  <c r="J192" i="11"/>
  <c r="K192" i="11"/>
  <c r="L192" i="11"/>
  <c r="H193" i="11"/>
  <c r="AJ200" i="11"/>
  <c r="AK200" i="11"/>
  <c r="AL200" i="11"/>
  <c r="AH201" i="11"/>
  <c r="AI201" i="11"/>
  <c r="J193" i="11"/>
  <c r="I193" i="11"/>
  <c r="AJ201" i="11"/>
  <c r="AK201" i="11"/>
  <c r="AL201" i="11"/>
  <c r="AH202" i="11"/>
  <c r="K12" i="11"/>
  <c r="K8" i="11"/>
  <c r="K9" i="11"/>
  <c r="K13" i="11"/>
  <c r="K7" i="11"/>
  <c r="K15" i="11"/>
  <c r="K11" i="11"/>
  <c r="K14" i="11"/>
  <c r="K10" i="11"/>
  <c r="K193" i="11"/>
  <c r="L193" i="11"/>
  <c r="H194" i="11"/>
  <c r="I194" i="11"/>
  <c r="AI202" i="11"/>
  <c r="AJ202" i="11"/>
  <c r="J194" i="11"/>
  <c r="K194" i="11"/>
  <c r="L194" i="11"/>
  <c r="H195" i="11"/>
  <c r="I195" i="11"/>
  <c r="AK202" i="11"/>
  <c r="AL202" i="11"/>
  <c r="AH203" i="11"/>
  <c r="J195" i="11"/>
  <c r="K195" i="11"/>
  <c r="L195" i="11"/>
  <c r="H196" i="11"/>
  <c r="I196" i="11"/>
  <c r="AI203" i="11"/>
  <c r="AJ203" i="11"/>
  <c r="J196" i="11"/>
  <c r="AK203" i="11"/>
  <c r="AL203" i="11"/>
  <c r="AH204" i="11"/>
  <c r="AI204" i="11"/>
  <c r="K196" i="11"/>
  <c r="L196" i="11"/>
  <c r="H197" i="11"/>
  <c r="I197" i="11"/>
  <c r="AJ204" i="11"/>
  <c r="AK204" i="11"/>
  <c r="AL204" i="11"/>
  <c r="AH205" i="11"/>
  <c r="J197" i="11"/>
  <c r="AI205" i="11"/>
  <c r="AJ205" i="11"/>
  <c r="K197" i="11"/>
  <c r="L197" i="11"/>
  <c r="H198" i="11"/>
  <c r="I198" i="11"/>
  <c r="AK205" i="11"/>
  <c r="AL205" i="11"/>
  <c r="AH206" i="11"/>
  <c r="J198" i="11"/>
  <c r="K198" i="11"/>
  <c r="L198" i="11"/>
  <c r="H199" i="11"/>
  <c r="I199" i="11"/>
  <c r="AL6" i="11"/>
  <c r="AK12" i="11"/>
  <c r="AK10" i="11"/>
  <c r="AK13" i="11"/>
  <c r="AL13" i="11"/>
  <c r="AK15" i="11"/>
  <c r="AL15" i="11"/>
  <c r="AL12" i="11"/>
  <c r="AK8" i="11"/>
  <c r="AK7" i="11"/>
  <c r="AL9" i="11"/>
  <c r="AK9" i="11"/>
  <c r="AL10" i="11"/>
  <c r="AL7" i="11"/>
  <c r="AK6" i="11"/>
  <c r="AL8" i="11"/>
  <c r="AK14" i="11"/>
  <c r="AL14" i="11"/>
  <c r="AL11" i="11"/>
  <c r="AK11" i="11"/>
  <c r="AI206" i="11"/>
  <c r="AJ206" i="11"/>
  <c r="J199" i="11"/>
  <c r="AK206" i="11"/>
  <c r="AL206" i="11"/>
  <c r="AH207" i="11"/>
  <c r="AI207" i="11"/>
  <c r="K199" i="11"/>
  <c r="L199" i="11"/>
  <c r="H200" i="11"/>
  <c r="I200" i="11"/>
  <c r="AJ207" i="11"/>
  <c r="AK207" i="11"/>
  <c r="AL207" i="11"/>
  <c r="AH208" i="11"/>
  <c r="J200" i="11"/>
  <c r="AI208" i="11"/>
  <c r="AJ208" i="11"/>
  <c r="K200" i="11"/>
  <c r="L200" i="11"/>
  <c r="H201" i="11"/>
  <c r="I201" i="11"/>
  <c r="AK208" i="11"/>
  <c r="AL208" i="11"/>
  <c r="AH209" i="11"/>
  <c r="J201" i="11"/>
  <c r="K201" i="11"/>
  <c r="L201" i="11"/>
  <c r="H202" i="11"/>
  <c r="I202" i="11"/>
  <c r="AI209" i="11"/>
  <c r="AJ209" i="11"/>
  <c r="J202" i="11"/>
  <c r="AK209" i="11"/>
  <c r="AL209" i="11"/>
  <c r="AH210" i="11"/>
  <c r="AI210" i="11"/>
  <c r="K202" i="11"/>
  <c r="L202" i="11"/>
  <c r="H203" i="11"/>
  <c r="I203" i="11"/>
  <c r="AJ210" i="11"/>
  <c r="AK210" i="11"/>
  <c r="AL210" i="11"/>
  <c r="AH211" i="11"/>
  <c r="J203" i="11"/>
  <c r="AJ211" i="11"/>
  <c r="AI211" i="11"/>
  <c r="K203" i="11"/>
  <c r="L203" i="11"/>
  <c r="H204" i="11"/>
  <c r="I204" i="11"/>
  <c r="AK211" i="11"/>
  <c r="AL211" i="11"/>
  <c r="AH212" i="11"/>
  <c r="AI212" i="11"/>
  <c r="J204" i="11"/>
  <c r="AJ212" i="11"/>
  <c r="AK212" i="11"/>
  <c r="AL212" i="11"/>
  <c r="AH213" i="11"/>
  <c r="AI213" i="11"/>
  <c r="K204" i="11"/>
  <c r="L204" i="11"/>
  <c r="H205" i="11"/>
  <c r="I205" i="11"/>
  <c r="AJ213" i="11"/>
  <c r="AK213" i="11"/>
  <c r="AL213" i="11"/>
  <c r="AH214" i="11"/>
  <c r="AI214" i="11"/>
  <c r="J205" i="11"/>
  <c r="AJ214" i="11"/>
  <c r="AK214" i="11"/>
  <c r="AL214" i="11"/>
  <c r="AH215" i="11"/>
  <c r="K205" i="11"/>
  <c r="L205" i="11"/>
  <c r="H206" i="11"/>
  <c r="I206" i="11"/>
  <c r="AI215" i="11"/>
  <c r="AJ215" i="11"/>
  <c r="J206" i="11"/>
  <c r="K206" i="11"/>
  <c r="L206" i="11"/>
  <c r="H207" i="11"/>
  <c r="I207" i="11"/>
  <c r="AK215" i="11"/>
  <c r="AL215" i="11"/>
  <c r="AH216" i="11"/>
  <c r="AI216" i="11"/>
  <c r="J207" i="11"/>
  <c r="K207" i="11"/>
  <c r="L207" i="11"/>
  <c r="H208" i="11"/>
  <c r="I208" i="11"/>
  <c r="AJ216" i="11"/>
  <c r="AK216" i="11"/>
  <c r="AL216" i="11"/>
  <c r="AH217" i="11"/>
  <c r="J208" i="11"/>
  <c r="K208" i="11"/>
  <c r="L208" i="11"/>
  <c r="H209" i="11"/>
  <c r="I209" i="11"/>
  <c r="AI217" i="11"/>
  <c r="AJ217" i="11"/>
  <c r="J209" i="11"/>
  <c r="AK217" i="11"/>
  <c r="AL217" i="11"/>
  <c r="AH218" i="11"/>
  <c r="K209" i="11"/>
  <c r="L209" i="11"/>
  <c r="H210" i="11"/>
  <c r="AI218" i="11"/>
  <c r="AJ218" i="11"/>
  <c r="J210" i="11"/>
  <c r="I210" i="11"/>
  <c r="AK218" i="11"/>
  <c r="AL218" i="11"/>
  <c r="AH219" i="11"/>
  <c r="AI219" i="11"/>
  <c r="K210" i="11"/>
  <c r="L210" i="11"/>
  <c r="H211" i="11"/>
  <c r="I211" i="11"/>
  <c r="AJ219" i="11"/>
  <c r="AK219" i="11"/>
  <c r="AL219" i="11"/>
  <c r="AH220" i="11"/>
  <c r="J211" i="11"/>
  <c r="K211" i="11"/>
  <c r="L211" i="11"/>
  <c r="H212" i="11"/>
  <c r="I212" i="11"/>
  <c r="AI220" i="11"/>
  <c r="AJ220" i="11"/>
  <c r="J212" i="11"/>
  <c r="AK220" i="11"/>
  <c r="AL220" i="11"/>
  <c r="AH221" i="11"/>
  <c r="AJ221" i="11"/>
  <c r="K212" i="11"/>
  <c r="L212" i="11"/>
  <c r="H213" i="11"/>
  <c r="I213" i="11"/>
  <c r="AI221" i="11"/>
  <c r="AK221" i="11"/>
  <c r="AL221" i="11"/>
  <c r="AH222" i="11"/>
  <c r="J213" i="11"/>
  <c r="AI222" i="11"/>
  <c r="AJ222" i="11"/>
  <c r="K213" i="11"/>
  <c r="L213" i="11"/>
  <c r="H214" i="11"/>
  <c r="I214" i="11"/>
  <c r="AK222" i="11"/>
  <c r="AL222" i="11"/>
  <c r="AH223" i="11"/>
  <c r="AI223" i="11"/>
  <c r="J214" i="11"/>
  <c r="AJ223" i="11"/>
  <c r="AK223" i="11"/>
  <c r="AL223" i="11"/>
  <c r="AH224" i="11"/>
  <c r="AI224" i="11"/>
  <c r="K214" i="11"/>
  <c r="L214" i="11"/>
  <c r="H215" i="11"/>
  <c r="I215" i="11"/>
  <c r="AJ224" i="11"/>
  <c r="AK224" i="11"/>
  <c r="AL224" i="11"/>
  <c r="AH225" i="11"/>
  <c r="J215" i="11"/>
  <c r="AI225" i="11"/>
  <c r="AJ225" i="11"/>
  <c r="K215" i="11"/>
  <c r="L215" i="11"/>
  <c r="H216" i="11"/>
  <c r="AK225" i="11"/>
  <c r="AL225" i="11"/>
  <c r="AH226" i="11"/>
  <c r="AJ226" i="11"/>
  <c r="J216" i="11"/>
  <c r="I216" i="11"/>
  <c r="AI226" i="11"/>
  <c r="AK226" i="11"/>
  <c r="AL226" i="11"/>
  <c r="AH227" i="11"/>
  <c r="AI227" i="11"/>
  <c r="K216" i="11"/>
  <c r="L216" i="11"/>
  <c r="H217" i="11"/>
  <c r="I217" i="11"/>
  <c r="AJ227" i="11"/>
  <c r="AK227" i="11"/>
  <c r="AL227" i="11"/>
  <c r="AH228" i="11"/>
  <c r="AI228" i="11"/>
  <c r="J217" i="11"/>
  <c r="K217" i="11"/>
  <c r="L217" i="11"/>
  <c r="H218" i="11"/>
  <c r="I218" i="11"/>
  <c r="AJ228" i="11"/>
  <c r="AK228" i="11"/>
  <c r="AL228" i="11"/>
  <c r="AH229" i="11"/>
  <c r="J218" i="11"/>
  <c r="K218" i="11"/>
  <c r="L218" i="11"/>
  <c r="H219" i="11"/>
  <c r="I219" i="11"/>
  <c r="AI229" i="11"/>
  <c r="AJ229" i="11"/>
  <c r="J219" i="11"/>
  <c r="K219" i="11"/>
  <c r="L219" i="11"/>
  <c r="H220" i="11"/>
  <c r="I220" i="11"/>
  <c r="AK229" i="11"/>
  <c r="AL229" i="11"/>
  <c r="AH230" i="11"/>
  <c r="J220" i="11"/>
  <c r="AI230" i="11"/>
  <c r="AJ230" i="11"/>
  <c r="K220" i="11"/>
  <c r="L220" i="11"/>
  <c r="H221" i="11"/>
  <c r="I221" i="11"/>
  <c r="AK230" i="11"/>
  <c r="AL230" i="11"/>
  <c r="AH231" i="11"/>
  <c r="AI231" i="11"/>
  <c r="J221" i="11"/>
  <c r="AJ231" i="11"/>
  <c r="AK231" i="11"/>
  <c r="AL231" i="11"/>
  <c r="AH232" i="11"/>
  <c r="K221" i="11"/>
  <c r="L221" i="11"/>
  <c r="H222" i="11"/>
  <c r="I222" i="11"/>
  <c r="AI232" i="11"/>
  <c r="AJ232" i="11"/>
  <c r="J222" i="11"/>
  <c r="AK232" i="11"/>
  <c r="AL232" i="11"/>
  <c r="AH233" i="11"/>
  <c r="K222" i="11"/>
  <c r="L222" i="11"/>
  <c r="H223" i="11"/>
  <c r="AI233" i="11"/>
  <c r="AJ233" i="11"/>
  <c r="J223" i="11"/>
  <c r="I223" i="11"/>
  <c r="AK233" i="11"/>
  <c r="AL233" i="11"/>
  <c r="AH234" i="11"/>
  <c r="K223" i="11"/>
  <c r="L223" i="11"/>
  <c r="H224" i="11"/>
  <c r="J224" i="11"/>
  <c r="I224" i="11"/>
  <c r="AI234" i="11"/>
  <c r="AJ234" i="11"/>
  <c r="K224" i="11"/>
  <c r="L224" i="11"/>
  <c r="H225" i="11"/>
  <c r="I225" i="11"/>
  <c r="AK234" i="11"/>
  <c r="AL234" i="11"/>
  <c r="AH235" i="11"/>
  <c r="AI235" i="11"/>
  <c r="J225" i="11"/>
  <c r="K225" i="11"/>
  <c r="L225" i="11"/>
  <c r="H226" i="11"/>
  <c r="I226" i="11"/>
  <c r="AJ235" i="11"/>
  <c r="AK235" i="11"/>
  <c r="AL235" i="11"/>
  <c r="AH236" i="11"/>
  <c r="AI236" i="11"/>
  <c r="J226" i="11"/>
  <c r="AJ236" i="11"/>
  <c r="AK236" i="11"/>
  <c r="AL236" i="11"/>
  <c r="AH237" i="11"/>
  <c r="K226" i="11"/>
  <c r="L226" i="11"/>
  <c r="H227" i="11"/>
  <c r="I227" i="11"/>
  <c r="AI237" i="11"/>
  <c r="AJ237" i="11"/>
  <c r="J227" i="11"/>
  <c r="K227" i="11"/>
  <c r="L227" i="11"/>
  <c r="H228" i="11"/>
  <c r="AK237" i="11"/>
  <c r="AL237" i="11"/>
  <c r="AH238" i="11"/>
  <c r="AI238" i="11"/>
  <c r="J228" i="11"/>
  <c r="I228" i="11"/>
  <c r="AJ238" i="11"/>
  <c r="AK238" i="11"/>
  <c r="AL238" i="11"/>
  <c r="AH239" i="11"/>
  <c r="AI239" i="11"/>
  <c r="K228" i="11"/>
  <c r="L228" i="11"/>
  <c r="H229" i="11"/>
  <c r="AJ239" i="11"/>
  <c r="AK239" i="11"/>
  <c r="AL239" i="11"/>
  <c r="AH240" i="11"/>
  <c r="AI240" i="11"/>
  <c r="J229" i="11"/>
  <c r="I229" i="11"/>
  <c r="AJ240" i="11"/>
  <c r="AK240" i="11"/>
  <c r="AL240" i="11"/>
  <c r="AH241" i="11"/>
  <c r="K229" i="11"/>
  <c r="L229" i="11"/>
  <c r="H230" i="11"/>
  <c r="I230" i="11"/>
  <c r="J230" i="11"/>
  <c r="K230" i="11"/>
  <c r="L230" i="11"/>
  <c r="H231" i="11"/>
  <c r="I231" i="11"/>
  <c r="AI241" i="11"/>
  <c r="AJ241" i="11"/>
  <c r="AK241" i="11"/>
  <c r="AL241" i="11"/>
  <c r="AH242" i="11"/>
  <c r="J231" i="11"/>
  <c r="K231" i="11"/>
  <c r="L231" i="11"/>
  <c r="H232" i="11"/>
  <c r="I232" i="11"/>
  <c r="AI242" i="11"/>
  <c r="AJ242" i="11"/>
  <c r="J232" i="11"/>
  <c r="AK242" i="11"/>
  <c r="AL242" i="11"/>
  <c r="AH243" i="11"/>
  <c r="AI243" i="11"/>
  <c r="K232" i="11"/>
  <c r="L232" i="11"/>
  <c r="H233" i="11"/>
  <c r="I233" i="11"/>
  <c r="AJ243" i="11"/>
  <c r="AK243" i="11"/>
  <c r="AL243" i="11"/>
  <c r="AH244" i="11"/>
  <c r="J233" i="11"/>
  <c r="AI244" i="11"/>
  <c r="AJ244" i="11"/>
  <c r="K233" i="11"/>
  <c r="L233" i="11"/>
  <c r="H234" i="11"/>
  <c r="I234" i="11"/>
  <c r="AK244" i="11"/>
  <c r="AL244" i="11"/>
  <c r="AH245" i="11"/>
  <c r="AI245" i="11"/>
  <c r="J234" i="11"/>
  <c r="AJ245" i="11"/>
  <c r="AK245" i="11"/>
  <c r="AL245" i="11"/>
  <c r="AH246" i="11"/>
  <c r="AI246" i="11"/>
  <c r="K234" i="11"/>
  <c r="L234" i="11"/>
  <c r="H235" i="11"/>
  <c r="I235" i="11"/>
  <c r="AJ246" i="11"/>
  <c r="AK246" i="11"/>
  <c r="AL246" i="11"/>
  <c r="AH247" i="11"/>
  <c r="J235" i="11"/>
  <c r="AI247" i="11"/>
  <c r="AJ247" i="11"/>
  <c r="K235" i="11"/>
  <c r="L235" i="11"/>
  <c r="H236" i="11"/>
  <c r="I236" i="11"/>
  <c r="AK247" i="11"/>
  <c r="AL247" i="11"/>
  <c r="AH248" i="11"/>
  <c r="AI248" i="11"/>
  <c r="J236" i="11"/>
  <c r="AJ248" i="11"/>
  <c r="AK248" i="11"/>
  <c r="AL248" i="11"/>
  <c r="AH249" i="11"/>
  <c r="AI249" i="11"/>
  <c r="K236" i="11"/>
  <c r="L236" i="11"/>
  <c r="H237" i="11"/>
  <c r="I237" i="11"/>
  <c r="AJ249" i="11"/>
  <c r="AK249" i="11"/>
  <c r="AL249" i="11"/>
  <c r="AH250" i="11"/>
  <c r="J237" i="11"/>
  <c r="AI250" i="11"/>
  <c r="AJ250" i="11"/>
  <c r="K237" i="11"/>
  <c r="L237" i="11"/>
  <c r="H238" i="11"/>
  <c r="AK250" i="11"/>
  <c r="AL250" i="11"/>
  <c r="AH251" i="11"/>
  <c r="J238" i="11"/>
  <c r="I238" i="11"/>
  <c r="AI251" i="11"/>
  <c r="AJ251" i="11"/>
  <c r="K238" i="11"/>
  <c r="L238" i="11"/>
  <c r="H239" i="11"/>
  <c r="I239" i="11"/>
  <c r="AK251" i="11"/>
  <c r="AL251" i="11"/>
  <c r="AH252" i="11"/>
  <c r="J239" i="11"/>
  <c r="K239" i="11"/>
  <c r="L239" i="11"/>
  <c r="H240" i="11"/>
  <c r="I240" i="11"/>
  <c r="AI252" i="11"/>
  <c r="AJ252" i="11"/>
  <c r="J240" i="11"/>
  <c r="AK252" i="11"/>
  <c r="AL252" i="11"/>
  <c r="AH253" i="11"/>
  <c r="AI253" i="11"/>
  <c r="K240" i="11"/>
  <c r="L240" i="11"/>
  <c r="H241" i="11"/>
  <c r="I241" i="11"/>
  <c r="AJ253" i="11"/>
  <c r="AK253" i="11"/>
  <c r="AL253" i="11"/>
  <c r="AH254" i="11"/>
  <c r="AJ254" i="11"/>
  <c r="J241" i="11"/>
  <c r="AI254" i="11"/>
  <c r="AK254" i="11"/>
  <c r="AL254" i="11"/>
  <c r="AH255" i="11"/>
  <c r="K241" i="11"/>
  <c r="L241" i="11"/>
  <c r="H242" i="11"/>
  <c r="I242" i="11"/>
  <c r="AI255" i="11"/>
  <c r="AJ255" i="11"/>
  <c r="J242" i="11"/>
  <c r="AK255" i="11"/>
  <c r="AL255" i="11"/>
  <c r="AH256" i="11"/>
  <c r="AI256" i="11"/>
  <c r="K242" i="11"/>
  <c r="L242" i="11"/>
  <c r="H243" i="11"/>
  <c r="I243" i="11"/>
  <c r="AJ256" i="11"/>
  <c r="AK256" i="11"/>
  <c r="AL256" i="11"/>
  <c r="AH257" i="11"/>
  <c r="J243" i="11"/>
  <c r="AI257" i="11"/>
  <c r="AJ257" i="11"/>
  <c r="K243" i="11"/>
  <c r="L243" i="11"/>
  <c r="H244" i="11"/>
  <c r="I244" i="11"/>
  <c r="AK257" i="11"/>
  <c r="AL257" i="11"/>
  <c r="AH258" i="11"/>
  <c r="AI258" i="11"/>
  <c r="J244" i="11"/>
  <c r="AJ258" i="11"/>
  <c r="AK258" i="11"/>
  <c r="AL258" i="11"/>
  <c r="AH259" i="11"/>
  <c r="K244" i="11"/>
  <c r="L244" i="11"/>
  <c r="H245" i="11"/>
  <c r="I245" i="11"/>
  <c r="AI259" i="11"/>
  <c r="AJ259" i="11"/>
  <c r="J245" i="11"/>
  <c r="AK259" i="11"/>
  <c r="AL259" i="11"/>
  <c r="AH260" i="11"/>
  <c r="AI260" i="11"/>
  <c r="K245" i="11"/>
  <c r="L245" i="11"/>
  <c r="H246" i="11"/>
  <c r="I246" i="11"/>
  <c r="AJ260" i="11"/>
  <c r="AK260" i="11"/>
  <c r="AL260" i="11"/>
  <c r="AH261" i="11"/>
  <c r="AI261" i="11"/>
  <c r="J246" i="11"/>
  <c r="AJ261" i="11"/>
  <c r="AK261" i="11"/>
  <c r="AL261" i="11"/>
  <c r="AH262" i="11"/>
  <c r="K246" i="11"/>
  <c r="L246" i="11"/>
  <c r="H247" i="11"/>
  <c r="I247" i="11"/>
  <c r="AI262" i="11"/>
  <c r="AJ262" i="11"/>
  <c r="J247" i="11"/>
  <c r="AK262" i="11"/>
  <c r="AL262" i="11"/>
  <c r="AH263" i="11"/>
  <c r="AI263" i="11"/>
  <c r="K247" i="11"/>
  <c r="L247" i="11"/>
  <c r="H248" i="11"/>
  <c r="I248" i="11"/>
  <c r="AJ263" i="11"/>
  <c r="AK263" i="11"/>
  <c r="AL263" i="11"/>
  <c r="AH264" i="11"/>
  <c r="J248" i="11"/>
  <c r="AI264" i="11"/>
  <c r="AJ264" i="11"/>
  <c r="K248" i="11"/>
  <c r="L248" i="11"/>
  <c r="H249" i="11"/>
  <c r="I249" i="11"/>
  <c r="AK264" i="11"/>
  <c r="AL264" i="11"/>
  <c r="AH265" i="11"/>
  <c r="J249" i="11"/>
  <c r="AI265" i="11"/>
  <c r="AJ265" i="11"/>
  <c r="K249" i="11"/>
  <c r="L249" i="11"/>
  <c r="H250" i="11"/>
  <c r="I250" i="11"/>
  <c r="AK265" i="11"/>
  <c r="AL265" i="11"/>
  <c r="AH266" i="11"/>
  <c r="J250" i="11"/>
  <c r="AI266" i="11"/>
  <c r="AJ266" i="11"/>
  <c r="K250" i="11"/>
  <c r="L250" i="11"/>
  <c r="H251" i="11"/>
  <c r="I251" i="11"/>
  <c r="AK266" i="11"/>
  <c r="AL266" i="11"/>
  <c r="AH267" i="11"/>
  <c r="J251" i="11"/>
  <c r="AI267" i="11"/>
  <c r="AJ267" i="11"/>
  <c r="K251" i="11"/>
  <c r="L251" i="11"/>
  <c r="H252" i="11"/>
  <c r="I252" i="11"/>
  <c r="AK267" i="11"/>
  <c r="AL267" i="11"/>
  <c r="AH268" i="11"/>
  <c r="J252" i="11"/>
  <c r="AI268" i="11"/>
  <c r="AJ268" i="11"/>
  <c r="K252" i="11"/>
  <c r="L252" i="11"/>
  <c r="H253" i="11"/>
  <c r="I253" i="11"/>
  <c r="AK268" i="11"/>
  <c r="AL268" i="11"/>
  <c r="AH269" i="11"/>
  <c r="J253" i="11"/>
  <c r="AI269" i="11"/>
  <c r="AJ269" i="11"/>
  <c r="K253" i="11"/>
  <c r="L253" i="11"/>
  <c r="H254" i="11"/>
  <c r="I254" i="11"/>
  <c r="AK269" i="11"/>
  <c r="AL269" i="11"/>
  <c r="AH270" i="11"/>
  <c r="J254" i="11"/>
  <c r="AI270" i="11"/>
  <c r="AJ270" i="11"/>
  <c r="K254" i="11"/>
  <c r="L254" i="11"/>
  <c r="H255" i="11"/>
  <c r="AK270" i="11"/>
  <c r="AL270" i="11"/>
  <c r="AH271" i="11"/>
  <c r="AI271" i="11"/>
  <c r="J255" i="11"/>
  <c r="I255" i="11"/>
  <c r="AJ271" i="11"/>
  <c r="AK271" i="11"/>
  <c r="AL271" i="11"/>
  <c r="AH272" i="11"/>
  <c r="K255" i="11"/>
  <c r="L255" i="11"/>
  <c r="H256" i="11"/>
  <c r="I256" i="11"/>
  <c r="AI272" i="11"/>
  <c r="AJ272" i="11"/>
  <c r="J256" i="11"/>
  <c r="K256" i="11"/>
  <c r="L256" i="11"/>
  <c r="H257" i="11"/>
  <c r="I257" i="11"/>
  <c r="AK272" i="11"/>
  <c r="AL272" i="11"/>
  <c r="AH273" i="11"/>
  <c r="J257" i="11"/>
  <c r="AJ273" i="11"/>
  <c r="AI273" i="11"/>
  <c r="K257" i="11"/>
  <c r="L257" i="11"/>
  <c r="H258" i="11"/>
  <c r="I258" i="11"/>
  <c r="AK273" i="11"/>
  <c r="AL273" i="11"/>
  <c r="AH274" i="11"/>
  <c r="J258" i="11"/>
  <c r="K258" i="11"/>
  <c r="L258" i="11"/>
  <c r="H259" i="11"/>
  <c r="I259" i="11"/>
  <c r="AJ274" i="11"/>
  <c r="AI274" i="11"/>
  <c r="J259" i="11"/>
  <c r="K259" i="11"/>
  <c r="L259" i="11"/>
  <c r="H260" i="11"/>
  <c r="I260" i="11"/>
  <c r="AK274" i="11"/>
  <c r="AL274" i="11"/>
  <c r="AH275" i="11"/>
  <c r="AJ275" i="11"/>
  <c r="J260" i="11"/>
  <c r="AI275" i="11"/>
  <c r="AK275" i="11"/>
  <c r="AL275" i="11"/>
  <c r="AH276" i="11"/>
  <c r="K260" i="11"/>
  <c r="L260" i="11"/>
  <c r="H261" i="11"/>
  <c r="I261" i="11"/>
  <c r="AJ276" i="11"/>
  <c r="AI276" i="11"/>
  <c r="J261" i="11"/>
  <c r="AK276" i="11"/>
  <c r="AL276" i="11"/>
  <c r="AH277" i="11"/>
  <c r="AI277" i="11"/>
  <c r="K261" i="11"/>
  <c r="L261" i="11"/>
  <c r="H262" i="11"/>
  <c r="I262" i="11"/>
  <c r="AJ277" i="11"/>
  <c r="AK277" i="11"/>
  <c r="AL277" i="11"/>
  <c r="AH278" i="11"/>
  <c r="AJ278" i="11"/>
  <c r="J262" i="11"/>
  <c r="AI278" i="11"/>
  <c r="AK278" i="11"/>
  <c r="AL278" i="11"/>
  <c r="AH279" i="11"/>
  <c r="AI279" i="11"/>
  <c r="K262" i="11"/>
  <c r="L262" i="11"/>
  <c r="H263" i="11"/>
  <c r="AJ279" i="11"/>
  <c r="AK279" i="11"/>
  <c r="AL279" i="11"/>
  <c r="AH280" i="11"/>
  <c r="AI280" i="11"/>
  <c r="J263" i="11"/>
  <c r="I263" i="11"/>
  <c r="K263" i="11"/>
  <c r="L263" i="11"/>
  <c r="H264" i="11"/>
  <c r="I264" i="11"/>
  <c r="AJ280" i="11"/>
  <c r="AK280" i="11"/>
  <c r="AL280" i="11"/>
  <c r="AH281" i="11"/>
  <c r="AI281" i="11"/>
  <c r="J264" i="11"/>
  <c r="K264" i="11"/>
  <c r="L264" i="11"/>
  <c r="H265" i="11"/>
  <c r="I265" i="11"/>
  <c r="AJ281" i="11"/>
  <c r="AK281" i="11"/>
  <c r="AL281" i="11"/>
  <c r="AH282" i="11"/>
  <c r="AI282" i="11"/>
  <c r="AJ282" i="11"/>
  <c r="AK282" i="11"/>
  <c r="AL282" i="11"/>
  <c r="AH283" i="11"/>
  <c r="AI283" i="11"/>
  <c r="J265" i="11"/>
  <c r="K265" i="11"/>
  <c r="L265" i="11"/>
  <c r="H266" i="11"/>
  <c r="I266" i="11"/>
  <c r="AJ283" i="11"/>
  <c r="AK283" i="11"/>
  <c r="AL283" i="11"/>
  <c r="AH284" i="11"/>
  <c r="J266" i="11"/>
  <c r="AI284" i="11"/>
  <c r="AJ284" i="11"/>
  <c r="K266" i="11"/>
  <c r="L266" i="11"/>
  <c r="H267" i="11"/>
  <c r="I267" i="11"/>
  <c r="AK284" i="11"/>
  <c r="AL284" i="11"/>
  <c r="AH285" i="11"/>
  <c r="J267" i="11"/>
  <c r="K267" i="11"/>
  <c r="L267" i="11"/>
  <c r="H268" i="11"/>
  <c r="I268" i="11"/>
  <c r="AI285" i="11"/>
  <c r="AJ285" i="11"/>
  <c r="J268" i="11"/>
  <c r="AK285" i="11"/>
  <c r="AL285" i="11"/>
  <c r="AH286" i="11"/>
  <c r="AI286" i="11"/>
  <c r="K268" i="11"/>
  <c r="L268" i="11"/>
  <c r="H269" i="11"/>
  <c r="I269" i="11"/>
  <c r="AJ286" i="11"/>
  <c r="AK286" i="11"/>
  <c r="AL286" i="11"/>
  <c r="AH287" i="11"/>
  <c r="J269" i="11"/>
  <c r="K269" i="11"/>
  <c r="L269" i="11"/>
  <c r="H270" i="11"/>
  <c r="I270" i="11"/>
  <c r="AI287" i="11"/>
  <c r="AJ287" i="11"/>
  <c r="J270" i="11"/>
  <c r="AK287" i="11"/>
  <c r="AL287" i="11"/>
  <c r="AH288" i="11"/>
  <c r="AJ288" i="11"/>
  <c r="K270" i="11"/>
  <c r="L270" i="11"/>
  <c r="H271" i="11"/>
  <c r="I271" i="11"/>
  <c r="AI288" i="11"/>
  <c r="AK288" i="11"/>
  <c r="AL288" i="11"/>
  <c r="AH289" i="11"/>
  <c r="AI289" i="11"/>
  <c r="J271" i="11"/>
  <c r="K271" i="11"/>
  <c r="L271" i="11"/>
  <c r="H272" i="11"/>
  <c r="I272" i="11"/>
  <c r="AJ289" i="11"/>
  <c r="AK289" i="11"/>
  <c r="AL289" i="11"/>
  <c r="AH290" i="11"/>
  <c r="J272" i="11"/>
  <c r="AI290" i="11"/>
  <c r="AJ290" i="11"/>
  <c r="K272" i="11"/>
  <c r="L272" i="11"/>
  <c r="H273" i="11"/>
  <c r="I273" i="11"/>
  <c r="AK290" i="11"/>
  <c r="AL290" i="11"/>
  <c r="AH291" i="11"/>
  <c r="J273" i="11"/>
  <c r="AI291" i="11"/>
  <c r="AJ291" i="11"/>
  <c r="K273" i="11"/>
  <c r="L273" i="11"/>
  <c r="H274" i="11"/>
  <c r="I274" i="11"/>
  <c r="AK291" i="11"/>
  <c r="AL291" i="11"/>
  <c r="AH292" i="11"/>
  <c r="AJ292" i="11"/>
  <c r="J274" i="11"/>
  <c r="K274" i="11"/>
  <c r="L274" i="11"/>
  <c r="H275" i="11"/>
  <c r="I275" i="11"/>
  <c r="AI292" i="11"/>
  <c r="AK292" i="11"/>
  <c r="AL292" i="11"/>
  <c r="AH293" i="11"/>
  <c r="J275" i="11"/>
  <c r="AI293" i="11"/>
  <c r="AJ293" i="11"/>
  <c r="K275" i="11"/>
  <c r="L275" i="11"/>
  <c r="H276" i="11"/>
  <c r="I276" i="11"/>
  <c r="AK293" i="11"/>
  <c r="AL293" i="11"/>
  <c r="AH294" i="11"/>
  <c r="J276" i="11"/>
  <c r="AI294" i="11"/>
  <c r="AJ294" i="11"/>
  <c r="K276" i="11"/>
  <c r="L276" i="11"/>
  <c r="H277" i="11"/>
  <c r="I277" i="11"/>
  <c r="AK294" i="11"/>
  <c r="AL294" i="11"/>
  <c r="AH295" i="11"/>
  <c r="AI295" i="11"/>
  <c r="J277" i="11"/>
  <c r="AJ295" i="11"/>
  <c r="AK295" i="11"/>
  <c r="AL295" i="11"/>
  <c r="AH296" i="11"/>
  <c r="K277" i="11"/>
  <c r="L277" i="11"/>
  <c r="H278" i="11"/>
  <c r="I278" i="11"/>
  <c r="AI296" i="11"/>
  <c r="AJ296" i="11"/>
  <c r="J278" i="11"/>
  <c r="AK296" i="11"/>
  <c r="AL296" i="11"/>
  <c r="AH297" i="11"/>
  <c r="K278" i="11"/>
  <c r="L278" i="11"/>
  <c r="H279" i="11"/>
  <c r="I279" i="11"/>
  <c r="AI297" i="11"/>
  <c r="AJ297" i="11"/>
  <c r="J279" i="11"/>
  <c r="AK297" i="11"/>
  <c r="AL297" i="11"/>
  <c r="AH298" i="11"/>
  <c r="AI298" i="11"/>
  <c r="K279" i="11"/>
  <c r="L279" i="11"/>
  <c r="H280" i="11"/>
  <c r="I280" i="11"/>
  <c r="AJ298" i="11"/>
  <c r="AK298" i="11"/>
  <c r="AL298" i="11"/>
  <c r="AH299" i="11"/>
  <c r="J280" i="11"/>
  <c r="AI299" i="11"/>
  <c r="AJ299" i="11"/>
  <c r="K280" i="11"/>
  <c r="L280" i="11"/>
  <c r="H281" i="11"/>
  <c r="AK299" i="11"/>
  <c r="AL299" i="11"/>
  <c r="AH300" i="11"/>
  <c r="J281" i="11"/>
  <c r="I281" i="11"/>
  <c r="K281" i="11"/>
  <c r="L281" i="11"/>
  <c r="H282" i="11"/>
  <c r="I282" i="11"/>
  <c r="AI300" i="11"/>
  <c r="AJ300" i="11"/>
  <c r="J282" i="11"/>
  <c r="K282" i="11"/>
  <c r="L282" i="11"/>
  <c r="H283" i="11"/>
  <c r="I283" i="11"/>
  <c r="AK300" i="11"/>
  <c r="AL300" i="11"/>
  <c r="AH301" i="11"/>
  <c r="AI301" i="11"/>
  <c r="AJ301" i="11"/>
  <c r="J283" i="11"/>
  <c r="AK301" i="11"/>
  <c r="AL301" i="11"/>
  <c r="AH302" i="11"/>
  <c r="AI302" i="11"/>
  <c r="K283" i="11"/>
  <c r="L283" i="11"/>
  <c r="H284" i="11"/>
  <c r="I284" i="11"/>
  <c r="AJ302" i="11"/>
  <c r="AK302" i="11"/>
  <c r="AL302" i="11"/>
  <c r="AH303" i="11"/>
  <c r="J284" i="11"/>
  <c r="AI303" i="11"/>
  <c r="AJ303" i="11"/>
  <c r="K284" i="11"/>
  <c r="L284" i="11"/>
  <c r="H285" i="11"/>
  <c r="AK303" i="11"/>
  <c r="AL303" i="11"/>
  <c r="AH304" i="11"/>
  <c r="AI304" i="11"/>
  <c r="J285" i="11"/>
  <c r="I285" i="11"/>
  <c r="K285" i="11"/>
  <c r="L285" i="11"/>
  <c r="H286" i="11"/>
  <c r="I286" i="11"/>
  <c r="AJ304" i="11"/>
  <c r="AK304" i="11"/>
  <c r="AL304" i="11"/>
  <c r="AH305" i="11"/>
  <c r="J286" i="11"/>
  <c r="K286" i="11"/>
  <c r="L286" i="11"/>
  <c r="H287" i="11"/>
  <c r="AI305" i="11"/>
  <c r="AJ305" i="11"/>
  <c r="AK305" i="11"/>
  <c r="AL305" i="11"/>
  <c r="AH306" i="11"/>
  <c r="AI306" i="11"/>
  <c r="J287" i="11"/>
  <c r="I287" i="11"/>
  <c r="AJ306" i="11"/>
  <c r="AK306" i="11"/>
  <c r="AL306" i="11"/>
  <c r="AH307" i="11"/>
  <c r="K287" i="11"/>
  <c r="L287" i="11"/>
  <c r="H288" i="11"/>
  <c r="I288" i="11"/>
  <c r="AI307" i="11"/>
  <c r="AJ307" i="11"/>
  <c r="J288" i="11"/>
  <c r="K288" i="11"/>
  <c r="L288" i="11"/>
  <c r="H289" i="11"/>
  <c r="I289" i="11"/>
  <c r="AK307" i="11"/>
  <c r="AL307" i="11"/>
  <c r="AH308" i="11"/>
  <c r="J289" i="11"/>
  <c r="AI308" i="11"/>
  <c r="AJ308" i="11"/>
  <c r="K289" i="11"/>
  <c r="L289" i="11"/>
  <c r="H290" i="11"/>
  <c r="AK308" i="11"/>
  <c r="AL308" i="11"/>
  <c r="AH309" i="11"/>
  <c r="AJ309" i="11"/>
  <c r="J290" i="11"/>
  <c r="I290" i="11"/>
  <c r="AI309" i="11"/>
  <c r="AK309" i="11"/>
  <c r="AL309" i="11"/>
  <c r="AH310" i="11"/>
  <c r="K290" i="11"/>
  <c r="L290" i="11"/>
  <c r="H291" i="11"/>
  <c r="AI310" i="11"/>
  <c r="AJ310" i="11"/>
  <c r="J291" i="11"/>
  <c r="I291" i="11"/>
  <c r="AK310" i="11"/>
  <c r="AL310" i="11"/>
  <c r="AH311" i="11"/>
  <c r="K291" i="11"/>
  <c r="L291" i="11"/>
  <c r="H292" i="11"/>
  <c r="AI311" i="11"/>
  <c r="AJ311" i="11"/>
  <c r="J292" i="11"/>
  <c r="I292" i="11"/>
  <c r="AK311" i="11"/>
  <c r="AL311" i="11"/>
  <c r="AH312" i="11"/>
  <c r="K292" i="11"/>
  <c r="L292" i="11"/>
  <c r="H293" i="11"/>
  <c r="AI312" i="11"/>
  <c r="AJ312" i="11"/>
  <c r="J293" i="11"/>
  <c r="I293" i="11"/>
  <c r="K293" i="11"/>
  <c r="L293" i="11"/>
  <c r="H294" i="11"/>
  <c r="AK312" i="11"/>
  <c r="AL312" i="11"/>
  <c r="AH313" i="11"/>
  <c r="J294" i="11"/>
  <c r="I294" i="11"/>
  <c r="AI313" i="11"/>
  <c r="AJ313" i="11"/>
  <c r="K294" i="11"/>
  <c r="L294" i="11"/>
  <c r="H295" i="11"/>
  <c r="J295" i="11"/>
  <c r="I295" i="11"/>
  <c r="K295" i="11"/>
  <c r="L295" i="11"/>
  <c r="H296" i="11"/>
  <c r="AK313" i="11"/>
  <c r="AL313" i="11"/>
  <c r="AH314" i="11"/>
  <c r="AI314" i="11"/>
  <c r="AJ314" i="11"/>
  <c r="J296" i="11"/>
  <c r="I296" i="11"/>
  <c r="AK314" i="11"/>
  <c r="AL314" i="11"/>
  <c r="AH315" i="11"/>
  <c r="AI315" i="11"/>
  <c r="K296" i="11"/>
  <c r="L296" i="11"/>
  <c r="H297" i="11"/>
  <c r="AJ315" i="11"/>
  <c r="AK315" i="11"/>
  <c r="AL315" i="11"/>
  <c r="AH316" i="11"/>
  <c r="J297" i="11"/>
  <c r="I297" i="11"/>
  <c r="AI316" i="11"/>
  <c r="AJ316" i="11"/>
  <c r="K297" i="11"/>
  <c r="L297" i="11"/>
  <c r="H298" i="11"/>
  <c r="AK316" i="11"/>
  <c r="AL316" i="11"/>
  <c r="AH317" i="11"/>
  <c r="AI317" i="11"/>
  <c r="J298" i="11"/>
  <c r="I298" i="11"/>
  <c r="AJ317" i="11"/>
  <c r="AK317" i="11"/>
  <c r="AL317" i="11"/>
  <c r="AH318" i="11"/>
  <c r="K298" i="11"/>
  <c r="L298" i="11"/>
  <c r="H299" i="11"/>
  <c r="J299" i="11"/>
  <c r="AJ318" i="11"/>
  <c r="AI318" i="11"/>
  <c r="I299" i="11"/>
  <c r="K299" i="11"/>
  <c r="L299" i="11"/>
  <c r="H300" i="11"/>
  <c r="AK318" i="11"/>
  <c r="AL318" i="11"/>
  <c r="AH319" i="11"/>
  <c r="AI319" i="11"/>
  <c r="J300" i="11"/>
  <c r="I300" i="11"/>
  <c r="AJ319" i="11"/>
  <c r="AK319" i="11"/>
  <c r="AL319" i="11"/>
  <c r="AH320" i="11"/>
  <c r="K300" i="11"/>
  <c r="L300" i="11"/>
  <c r="H301" i="11"/>
  <c r="I301" i="11"/>
  <c r="AI320" i="11"/>
  <c r="AJ320" i="11"/>
  <c r="J301" i="11"/>
  <c r="K301" i="11"/>
  <c r="L301" i="11"/>
  <c r="H302" i="11"/>
  <c r="AK320" i="11"/>
  <c r="AL320" i="11"/>
  <c r="AH321" i="11"/>
  <c r="J302" i="11"/>
  <c r="I302" i="11"/>
  <c r="AI321" i="11"/>
  <c r="AJ321" i="11"/>
  <c r="K302" i="11"/>
  <c r="L302" i="11"/>
  <c r="H303" i="11"/>
  <c r="J303" i="11"/>
  <c r="AK321" i="11"/>
  <c r="AL321" i="11"/>
  <c r="AH322" i="11"/>
  <c r="I303" i="11"/>
  <c r="K303" i="11"/>
  <c r="L303" i="11"/>
  <c r="H304" i="11"/>
  <c r="AI322" i="11"/>
  <c r="AJ322" i="11"/>
  <c r="J304" i="11"/>
  <c r="I304" i="11"/>
  <c r="AK322" i="11"/>
  <c r="AL322" i="11"/>
  <c r="AH323" i="11"/>
  <c r="AI323" i="11"/>
  <c r="K304" i="11"/>
  <c r="L304" i="11"/>
  <c r="H305" i="11"/>
  <c r="J305" i="11"/>
  <c r="AJ323" i="11"/>
  <c r="AK323" i="11"/>
  <c r="AL323" i="11"/>
  <c r="AH324" i="11"/>
  <c r="I305" i="11"/>
  <c r="K305" i="11"/>
  <c r="L305" i="11"/>
  <c r="H306" i="11"/>
  <c r="I306" i="11"/>
  <c r="AI324" i="11"/>
  <c r="AJ324" i="11"/>
  <c r="J306" i="11"/>
  <c r="K306" i="11"/>
  <c r="L306" i="11"/>
  <c r="H307" i="11"/>
  <c r="J307" i="11"/>
  <c r="AK324" i="11"/>
  <c r="AL324" i="11"/>
  <c r="AH325" i="11"/>
  <c r="AI325" i="11"/>
  <c r="I307" i="11"/>
  <c r="K307" i="11"/>
  <c r="L307" i="11"/>
  <c r="H308" i="11"/>
  <c r="J308" i="11"/>
  <c r="AJ325" i="11"/>
  <c r="AK325" i="11"/>
  <c r="AL325" i="11"/>
  <c r="AH326" i="11"/>
  <c r="I308" i="11"/>
  <c r="K308" i="11"/>
  <c r="L308" i="11"/>
  <c r="H309" i="11"/>
  <c r="AI326" i="11"/>
  <c r="AJ326" i="11"/>
  <c r="J309" i="11"/>
  <c r="I309" i="11"/>
  <c r="AK326" i="11"/>
  <c r="AL326" i="11"/>
  <c r="AH327" i="11"/>
  <c r="K309" i="11"/>
  <c r="L309" i="11"/>
  <c r="H310" i="11"/>
  <c r="AI327" i="11"/>
  <c r="AJ327" i="11"/>
  <c r="J310" i="11"/>
  <c r="I310" i="11"/>
  <c r="AK327" i="11"/>
  <c r="AL327" i="11"/>
  <c r="AH328" i="11"/>
  <c r="K310" i="11"/>
  <c r="L310" i="11"/>
  <c r="H311" i="11"/>
  <c r="AI328" i="11"/>
  <c r="AJ328" i="11"/>
  <c r="J311" i="11"/>
  <c r="I311" i="11"/>
  <c r="AK328" i="11"/>
  <c r="AL328" i="11"/>
  <c r="AH329" i="11"/>
  <c r="AI329" i="11"/>
  <c r="K311" i="11"/>
  <c r="L311" i="11"/>
  <c r="H312" i="11"/>
  <c r="AJ329" i="11"/>
  <c r="AK329" i="11"/>
  <c r="AL329" i="11"/>
  <c r="AH330" i="11"/>
  <c r="J312" i="11"/>
  <c r="I312" i="11"/>
  <c r="AI330" i="11"/>
  <c r="AJ330" i="11"/>
  <c r="K312" i="11"/>
  <c r="L312" i="11"/>
  <c r="H313" i="11"/>
  <c r="AK330" i="11"/>
  <c r="AL330" i="11"/>
  <c r="AH331" i="11"/>
  <c r="AI331" i="11"/>
  <c r="J313" i="11"/>
  <c r="I313" i="11"/>
  <c r="AJ331" i="11"/>
  <c r="AK331" i="11"/>
  <c r="AL331" i="11"/>
  <c r="AH332" i="11"/>
  <c r="K313" i="11"/>
  <c r="L313" i="11"/>
  <c r="H314" i="11"/>
  <c r="AI332" i="11"/>
  <c r="AJ332" i="11"/>
  <c r="J314" i="11"/>
  <c r="I314" i="11"/>
  <c r="AK332" i="11"/>
  <c r="AL332" i="11"/>
  <c r="AH333" i="11"/>
  <c r="K314" i="11"/>
  <c r="L314" i="11"/>
  <c r="H315" i="11"/>
  <c r="AI333" i="11"/>
  <c r="AJ333" i="11"/>
  <c r="J315" i="11"/>
  <c r="I315" i="11"/>
  <c r="AK333" i="11"/>
  <c r="AL333" i="11"/>
  <c r="AH334" i="11"/>
  <c r="K315" i="11"/>
  <c r="L315" i="11"/>
  <c r="H316" i="11"/>
  <c r="AI334" i="11"/>
  <c r="AJ334" i="11"/>
  <c r="J316" i="11"/>
  <c r="I316" i="11"/>
  <c r="AK334" i="11"/>
  <c r="AL334" i="11"/>
  <c r="AH335" i="11"/>
  <c r="AI335" i="11"/>
  <c r="K316" i="11"/>
  <c r="L316" i="11"/>
  <c r="H317" i="11"/>
  <c r="J317" i="11"/>
  <c r="AJ335" i="11"/>
  <c r="AK335" i="11"/>
  <c r="AL335" i="11"/>
  <c r="AH336" i="11"/>
  <c r="I317" i="11"/>
  <c r="K317" i="11"/>
  <c r="L317" i="11"/>
  <c r="H318" i="11"/>
  <c r="J318" i="11"/>
  <c r="I318" i="11"/>
  <c r="AI336" i="11"/>
  <c r="AJ336" i="11"/>
  <c r="K318" i="11"/>
  <c r="L318" i="11"/>
  <c r="H319" i="11"/>
  <c r="J319" i="11"/>
  <c r="AK336" i="11"/>
  <c r="AL336" i="11"/>
  <c r="AH337" i="11"/>
  <c r="I319" i="11"/>
  <c r="K319" i="11"/>
  <c r="L319" i="11"/>
  <c r="H320" i="11"/>
  <c r="J320" i="11"/>
  <c r="AI337" i="11"/>
  <c r="AJ337" i="11"/>
  <c r="I320" i="11"/>
  <c r="K320" i="11"/>
  <c r="L320" i="11"/>
  <c r="H321" i="11"/>
  <c r="AK337" i="11"/>
  <c r="AL337" i="11"/>
  <c r="AH338" i="11"/>
  <c r="J321" i="11"/>
  <c r="I321" i="11"/>
  <c r="AI338" i="11"/>
  <c r="AJ338" i="11"/>
  <c r="AK338" i="11"/>
  <c r="AL338" i="11"/>
  <c r="AH339" i="11"/>
  <c r="AJ339" i="11"/>
  <c r="K321" i="11"/>
  <c r="L321" i="11"/>
  <c r="H322" i="11"/>
  <c r="J322" i="11"/>
  <c r="AI339" i="11"/>
  <c r="AK339" i="11"/>
  <c r="AL339" i="11"/>
  <c r="AH340" i="11"/>
  <c r="I322" i="11"/>
  <c r="K322" i="11"/>
  <c r="L322" i="11"/>
  <c r="H323" i="11"/>
  <c r="AI340" i="11"/>
  <c r="AJ340" i="11"/>
  <c r="J323" i="11"/>
  <c r="I323" i="11"/>
  <c r="AK340" i="11"/>
  <c r="AL340" i="11"/>
  <c r="AH341" i="11"/>
  <c r="K323" i="11"/>
  <c r="L323" i="11"/>
  <c r="H324" i="11"/>
  <c r="AI341" i="11"/>
  <c r="AJ341" i="11"/>
  <c r="J324" i="11"/>
  <c r="I324" i="11"/>
  <c r="AK341" i="11"/>
  <c r="AL341" i="11"/>
  <c r="AH342" i="11"/>
  <c r="K324" i="11"/>
  <c r="L324" i="11"/>
  <c r="H325" i="11"/>
  <c r="J325" i="11"/>
  <c r="I325" i="11"/>
  <c r="K325" i="11"/>
  <c r="L325" i="11"/>
  <c r="H326" i="11"/>
  <c r="AI342" i="11"/>
  <c r="AJ342" i="11"/>
  <c r="AK342" i="11"/>
  <c r="AL342" i="11"/>
  <c r="AH343" i="11"/>
  <c r="AI343" i="11"/>
  <c r="J326" i="11"/>
  <c r="I326" i="11"/>
  <c r="K326" i="11"/>
  <c r="L326" i="11"/>
  <c r="H327" i="11"/>
  <c r="J327" i="11"/>
  <c r="AJ343" i="11"/>
  <c r="AK343" i="11"/>
  <c r="AL343" i="11"/>
  <c r="AH344" i="11"/>
  <c r="I327" i="11"/>
  <c r="K327" i="11"/>
  <c r="L327" i="11"/>
  <c r="H328" i="11"/>
  <c r="AI344" i="11"/>
  <c r="AJ344" i="11"/>
  <c r="AK344" i="11"/>
  <c r="AL344" i="11"/>
  <c r="AH345" i="11"/>
  <c r="J328" i="11"/>
  <c r="I328" i="11"/>
  <c r="AI345" i="11"/>
  <c r="AJ345" i="11"/>
  <c r="K328" i="11"/>
  <c r="L328" i="11"/>
  <c r="H329" i="11"/>
  <c r="AK345" i="11"/>
  <c r="AL345" i="11"/>
  <c r="AH346" i="11"/>
  <c r="J329" i="11"/>
  <c r="I329" i="11"/>
  <c r="K329" i="11"/>
  <c r="L329" i="11"/>
  <c r="H330" i="11"/>
  <c r="J330" i="11"/>
  <c r="AI346" i="11"/>
  <c r="AJ346" i="11"/>
  <c r="I330" i="11"/>
  <c r="AK346" i="11"/>
  <c r="AL346" i="11"/>
  <c r="AH347" i="11"/>
  <c r="K330" i="11"/>
  <c r="L330" i="11"/>
  <c r="H331" i="11"/>
  <c r="AI347" i="11"/>
  <c r="AJ347" i="11"/>
  <c r="J331" i="11"/>
  <c r="I331" i="11"/>
  <c r="AK347" i="11"/>
  <c r="AL347" i="11"/>
  <c r="AH348" i="11"/>
  <c r="AI348" i="11"/>
  <c r="K331" i="11"/>
  <c r="L331" i="11"/>
  <c r="H332" i="11"/>
  <c r="J332" i="11"/>
  <c r="I332" i="11"/>
  <c r="K332" i="11"/>
  <c r="L332" i="11"/>
  <c r="H333" i="11"/>
  <c r="AJ348" i="11"/>
  <c r="AK348" i="11"/>
  <c r="AL348" i="11"/>
  <c r="AH349" i="11"/>
  <c r="AI349" i="11"/>
  <c r="AJ349" i="11"/>
  <c r="AK349" i="11"/>
  <c r="AL349" i="11"/>
  <c r="AH350" i="11"/>
  <c r="J333" i="11"/>
  <c r="I333" i="11"/>
  <c r="AI350" i="11"/>
  <c r="AJ350" i="11"/>
  <c r="K333" i="11"/>
  <c r="L333" i="11"/>
  <c r="H334" i="11"/>
  <c r="J334" i="11"/>
  <c r="I334" i="11"/>
  <c r="AK350" i="11"/>
  <c r="AL350" i="11"/>
  <c r="AH351" i="11"/>
  <c r="K334" i="11"/>
  <c r="L334" i="11"/>
  <c r="H335" i="11"/>
  <c r="J335" i="11"/>
  <c r="AI351" i="11"/>
  <c r="AJ351" i="11"/>
  <c r="I335" i="11"/>
  <c r="K335" i="11"/>
  <c r="L335" i="11"/>
  <c r="H336" i="11"/>
  <c r="AK351" i="11"/>
  <c r="AL351" i="11"/>
  <c r="AH352" i="11"/>
  <c r="J336" i="11"/>
  <c r="I336" i="11"/>
  <c r="AI352" i="11"/>
  <c r="AJ352" i="11"/>
  <c r="K336" i="11"/>
  <c r="L336" i="11"/>
  <c r="H337" i="11"/>
  <c r="J337" i="11"/>
  <c r="AK352" i="11"/>
  <c r="AL352" i="11"/>
  <c r="AH353" i="11"/>
  <c r="I337" i="11"/>
  <c r="K337" i="11"/>
  <c r="L337" i="11"/>
  <c r="H338" i="11"/>
  <c r="AI353" i="11"/>
  <c r="AJ353" i="11"/>
  <c r="I338" i="11"/>
  <c r="J338" i="11"/>
  <c r="AK353" i="11"/>
  <c r="AL353" i="11"/>
  <c r="AH354" i="11"/>
  <c r="K338" i="11"/>
  <c r="L338" i="11"/>
  <c r="H339" i="11"/>
  <c r="J339" i="11"/>
  <c r="I339" i="11"/>
  <c r="AI354" i="11"/>
  <c r="AJ354" i="11"/>
  <c r="K339" i="11"/>
  <c r="L339" i="11"/>
  <c r="H340" i="11"/>
  <c r="J340" i="11"/>
  <c r="I340" i="11"/>
  <c r="K340" i="11"/>
  <c r="L340" i="11"/>
  <c r="H341" i="11"/>
  <c r="J341" i="11"/>
  <c r="AK354" i="11"/>
  <c r="AL354" i="11"/>
  <c r="AH355" i="11"/>
  <c r="AI355" i="11"/>
  <c r="AJ355" i="11"/>
  <c r="I341" i="11"/>
  <c r="K341" i="11"/>
  <c r="L341" i="11"/>
  <c r="H342" i="11"/>
  <c r="AK355" i="11"/>
  <c r="AL355" i="11"/>
  <c r="AH356" i="11"/>
  <c r="J342" i="11"/>
  <c r="I342" i="11"/>
  <c r="AI356" i="11"/>
  <c r="AJ356" i="11"/>
  <c r="K342" i="11"/>
  <c r="L342" i="11"/>
  <c r="H343" i="11"/>
  <c r="AK356" i="11"/>
  <c r="AL356" i="11"/>
  <c r="AH357" i="11"/>
  <c r="J343" i="11"/>
  <c r="I343" i="11"/>
  <c r="K343" i="11"/>
  <c r="L343" i="11"/>
  <c r="H344" i="11"/>
  <c r="AI357" i="11"/>
  <c r="AJ357" i="11"/>
  <c r="J344" i="11"/>
  <c r="I344" i="11"/>
  <c r="AK357" i="11"/>
  <c r="AL357" i="11"/>
  <c r="AH358" i="11"/>
  <c r="AI358" i="11"/>
  <c r="K344" i="11"/>
  <c r="L344" i="11"/>
  <c r="H345" i="11"/>
  <c r="J345" i="11"/>
  <c r="AJ358" i="11"/>
  <c r="AK358" i="11"/>
  <c r="AL358" i="11"/>
  <c r="AH359" i="11"/>
  <c r="I345" i="11"/>
  <c r="K345" i="11"/>
  <c r="L345" i="11"/>
  <c r="H346" i="11"/>
  <c r="AI359" i="11"/>
  <c r="AJ359" i="11"/>
  <c r="J346" i="11"/>
  <c r="I346" i="11"/>
  <c r="AK359" i="11"/>
  <c r="AL359" i="11"/>
  <c r="AH360" i="11"/>
  <c r="AI360" i="11"/>
  <c r="K346" i="11"/>
  <c r="L346" i="11"/>
  <c r="H347" i="11"/>
  <c r="I347" i="11"/>
  <c r="AJ360" i="11"/>
  <c r="AK360" i="11"/>
  <c r="AL360" i="11"/>
  <c r="AH361" i="11"/>
  <c r="J347" i="11"/>
  <c r="K347" i="11"/>
  <c r="L347" i="11"/>
  <c r="H348" i="11"/>
  <c r="AI361" i="11"/>
  <c r="AJ361" i="11"/>
  <c r="J348" i="11"/>
  <c r="I348" i="11"/>
  <c r="AK361" i="11"/>
  <c r="AL361" i="11"/>
  <c r="AH362" i="11"/>
  <c r="AI362" i="11"/>
  <c r="K348" i="11"/>
  <c r="L348" i="11"/>
  <c r="H349" i="11"/>
  <c r="J349" i="11"/>
  <c r="AJ362" i="11"/>
  <c r="AK362" i="11"/>
  <c r="AL362" i="11"/>
  <c r="AH363" i="11"/>
  <c r="AI363" i="11"/>
  <c r="I349" i="11"/>
  <c r="K349" i="11"/>
  <c r="L349" i="11"/>
  <c r="H350" i="11"/>
  <c r="AJ363" i="11"/>
  <c r="AK363" i="11"/>
  <c r="AL363" i="11"/>
  <c r="AH364" i="11"/>
  <c r="AJ364" i="11"/>
  <c r="J350" i="11"/>
  <c r="I350" i="11"/>
  <c r="AI364" i="11"/>
  <c r="AK364" i="11"/>
  <c r="AL364" i="11"/>
  <c r="AH365" i="11"/>
  <c r="K350" i="11"/>
  <c r="L350" i="11"/>
  <c r="H351" i="11"/>
  <c r="AI365" i="11"/>
  <c r="AJ365" i="11"/>
  <c r="J351" i="11"/>
  <c r="I351" i="11"/>
  <c r="AK365" i="11"/>
  <c r="AL365" i="11"/>
  <c r="AH366" i="11"/>
  <c r="AI366" i="11"/>
  <c r="K351" i="11"/>
  <c r="L351" i="11"/>
  <c r="H352" i="11"/>
  <c r="J352" i="11"/>
  <c r="AJ366" i="11"/>
  <c r="AK366" i="11"/>
  <c r="AL366" i="11"/>
  <c r="AH367" i="11"/>
  <c r="AI367" i="11"/>
  <c r="I352" i="11"/>
  <c r="K352" i="11"/>
  <c r="L352" i="11"/>
  <c r="H353" i="11"/>
  <c r="J353" i="11"/>
  <c r="AJ367" i="11"/>
  <c r="AK367" i="11"/>
  <c r="AL367" i="11"/>
  <c r="AH368" i="11"/>
  <c r="I353" i="11"/>
  <c r="K353" i="11"/>
  <c r="L353" i="11"/>
  <c r="H354" i="11"/>
  <c r="AI368" i="11"/>
  <c r="AJ368" i="11"/>
  <c r="J354" i="11"/>
  <c r="I354" i="11"/>
  <c r="AK368" i="11"/>
  <c r="AL368" i="11"/>
  <c r="AH369" i="11"/>
  <c r="AI369" i="11"/>
  <c r="K354" i="11"/>
  <c r="L354" i="11"/>
  <c r="H355" i="11"/>
  <c r="J355" i="11"/>
  <c r="AJ369" i="11"/>
  <c r="AK369" i="11"/>
  <c r="AL369" i="11"/>
  <c r="AH370" i="11"/>
  <c r="AI370" i="11"/>
  <c r="I355" i="11"/>
  <c r="K355" i="11"/>
  <c r="L355" i="11"/>
  <c r="H356" i="11"/>
  <c r="AJ370" i="11"/>
  <c r="AK370" i="11"/>
  <c r="AL370" i="11"/>
  <c r="AH371" i="11"/>
  <c r="AI371" i="11"/>
  <c r="J356" i="11"/>
  <c r="I356" i="11"/>
  <c r="AJ371" i="11"/>
  <c r="AK371" i="11"/>
  <c r="AL371" i="11"/>
  <c r="AH372" i="11"/>
  <c r="K356" i="11"/>
  <c r="L356" i="11"/>
  <c r="H357" i="11"/>
  <c r="AI372" i="11"/>
  <c r="AJ372" i="11"/>
  <c r="J357" i="11"/>
  <c r="I357" i="11"/>
  <c r="AK372" i="11"/>
  <c r="AL372" i="11"/>
  <c r="AH373" i="11"/>
  <c r="AJ373" i="11"/>
  <c r="K357" i="11"/>
  <c r="L357" i="11"/>
  <c r="H358" i="11"/>
  <c r="J358" i="11"/>
  <c r="AI373" i="11"/>
  <c r="AK373" i="11"/>
  <c r="AL373" i="11"/>
  <c r="AH374" i="11"/>
  <c r="AJ374" i="11"/>
  <c r="I358" i="11"/>
  <c r="K358" i="11"/>
  <c r="L358" i="11"/>
  <c r="H359" i="11"/>
  <c r="J359" i="11"/>
  <c r="AI374" i="11"/>
  <c r="AK374" i="11"/>
  <c r="AL374" i="11"/>
  <c r="AH375" i="11"/>
  <c r="AI375" i="11"/>
  <c r="I359" i="11"/>
  <c r="K359" i="11"/>
  <c r="L359" i="11"/>
  <c r="H360" i="11"/>
  <c r="AJ375" i="11"/>
  <c r="AK375" i="11"/>
  <c r="AL375" i="11"/>
  <c r="AH376" i="11"/>
  <c r="AI376" i="11"/>
  <c r="J360" i="11"/>
  <c r="I360" i="11"/>
  <c r="AJ376" i="11"/>
  <c r="AK376" i="11"/>
  <c r="AL376" i="11"/>
  <c r="AH377" i="11"/>
  <c r="AI377" i="11"/>
  <c r="K360" i="11"/>
  <c r="L360" i="11"/>
  <c r="H361" i="11"/>
  <c r="AJ377" i="11"/>
  <c r="AK377" i="11"/>
  <c r="AL377" i="11"/>
  <c r="AH378" i="11"/>
  <c r="J361" i="11"/>
  <c r="I361" i="11"/>
  <c r="AI378" i="11"/>
  <c r="AJ378" i="11"/>
  <c r="K361" i="11"/>
  <c r="L361" i="11"/>
  <c r="H362" i="11"/>
  <c r="AK378" i="11"/>
  <c r="AL378" i="11"/>
  <c r="AH379" i="11"/>
  <c r="J362" i="11"/>
  <c r="I362" i="11"/>
  <c r="K362" i="11"/>
  <c r="L362" i="11"/>
  <c r="H363" i="11"/>
  <c r="J363" i="11"/>
  <c r="AI379" i="11"/>
  <c r="AJ379" i="11"/>
  <c r="I363" i="11"/>
  <c r="K363" i="11"/>
  <c r="L363" i="11"/>
  <c r="H364" i="11"/>
  <c r="J364" i="11"/>
  <c r="AK379" i="11"/>
  <c r="AL379" i="11"/>
  <c r="AH380" i="11"/>
  <c r="AI380" i="11"/>
  <c r="I364" i="11"/>
  <c r="K364" i="11"/>
  <c r="L364" i="11"/>
  <c r="H365" i="11"/>
  <c r="J365" i="11"/>
  <c r="AJ380" i="11"/>
  <c r="AK380" i="11"/>
  <c r="AL380" i="11"/>
  <c r="AH381" i="11"/>
  <c r="I365" i="11"/>
  <c r="K365" i="11"/>
  <c r="L365" i="11"/>
  <c r="H366" i="11"/>
  <c r="AI381" i="11"/>
  <c r="AJ381" i="11"/>
  <c r="AK381" i="11"/>
  <c r="AL381" i="11"/>
  <c r="AH382" i="11"/>
  <c r="AI382" i="11"/>
  <c r="J366" i="11"/>
  <c r="I366" i="11"/>
  <c r="AJ382" i="11"/>
  <c r="AK382" i="11"/>
  <c r="AL382" i="11"/>
  <c r="AH383" i="11"/>
  <c r="K366" i="11"/>
  <c r="L366" i="11"/>
  <c r="H367" i="11"/>
  <c r="J367" i="11"/>
  <c r="AJ383" i="11"/>
  <c r="AI383" i="11"/>
  <c r="I367" i="11"/>
  <c r="K367" i="11"/>
  <c r="L367" i="11"/>
  <c r="H368" i="11"/>
  <c r="AK383" i="11"/>
  <c r="AL383" i="11"/>
  <c r="AH384" i="11"/>
  <c r="AJ384" i="11"/>
  <c r="I368" i="11"/>
  <c r="J368" i="11"/>
  <c r="AI384" i="11"/>
  <c r="AK384" i="11"/>
  <c r="AL384" i="11"/>
  <c r="AH385" i="11"/>
  <c r="K368" i="11"/>
  <c r="L368" i="11"/>
  <c r="H369" i="11"/>
  <c r="I369" i="11"/>
  <c r="J369" i="11"/>
  <c r="K369" i="11"/>
  <c r="L369" i="11"/>
  <c r="H370" i="11"/>
  <c r="AI385" i="11"/>
  <c r="AJ385" i="11"/>
  <c r="AK385" i="11"/>
  <c r="AL385" i="11"/>
  <c r="AH386" i="11"/>
  <c r="AJ386" i="11"/>
  <c r="I370" i="11"/>
  <c r="J370" i="11"/>
  <c r="AI386" i="11"/>
  <c r="AK386" i="11"/>
  <c r="AL386" i="11"/>
  <c r="AH387" i="11"/>
  <c r="K370" i="11"/>
  <c r="L370" i="11"/>
  <c r="H371" i="11"/>
  <c r="I371" i="11"/>
  <c r="J371" i="11"/>
  <c r="K371" i="11"/>
  <c r="L371" i="11"/>
  <c r="H372" i="11"/>
  <c r="AI387" i="11"/>
  <c r="AJ387" i="11"/>
  <c r="AK387" i="11"/>
  <c r="AL387" i="11"/>
  <c r="AH388" i="11"/>
  <c r="AJ388" i="11"/>
  <c r="I372" i="11"/>
  <c r="J372" i="11"/>
  <c r="AI388" i="11"/>
  <c r="AK388" i="11"/>
  <c r="AL388" i="11"/>
  <c r="AH389" i="11"/>
  <c r="K372" i="11"/>
  <c r="L372" i="11"/>
  <c r="H373" i="11"/>
  <c r="I373" i="11"/>
  <c r="J373" i="11"/>
  <c r="K373" i="11"/>
  <c r="L373" i="11"/>
  <c r="H374" i="11"/>
  <c r="I374" i="11"/>
  <c r="AI389" i="11"/>
  <c r="AJ389" i="11"/>
  <c r="J374" i="11"/>
  <c r="K374" i="11"/>
  <c r="L374" i="11"/>
  <c r="H375" i="11"/>
  <c r="I375" i="11"/>
  <c r="AK389" i="11"/>
  <c r="AL389" i="11"/>
  <c r="AH390" i="11"/>
  <c r="AI390" i="11"/>
  <c r="AJ390" i="11"/>
  <c r="J375" i="11"/>
  <c r="AK390" i="11"/>
  <c r="AL390" i="11"/>
  <c r="AH391" i="11"/>
  <c r="AI391" i="11"/>
  <c r="K375" i="11"/>
  <c r="L375" i="11"/>
  <c r="H376" i="11"/>
  <c r="AJ391" i="11"/>
  <c r="AK391" i="11"/>
  <c r="AL391" i="11"/>
  <c r="AH392" i="11"/>
  <c r="J376" i="11"/>
  <c r="I376" i="11"/>
  <c r="AJ392" i="11"/>
  <c r="AI392" i="11"/>
  <c r="K376" i="11"/>
  <c r="L376" i="11"/>
  <c r="H377" i="11"/>
  <c r="J377" i="11"/>
  <c r="AK392" i="11"/>
  <c r="AL392" i="11"/>
  <c r="AH393" i="11"/>
  <c r="AI393" i="11"/>
  <c r="I377" i="11"/>
  <c r="K377" i="11"/>
  <c r="L377" i="11"/>
  <c r="H378" i="11"/>
  <c r="J378" i="11"/>
  <c r="AJ393" i="11"/>
  <c r="AK393" i="11"/>
  <c r="AL393" i="11"/>
  <c r="AH394" i="11"/>
  <c r="I378" i="11"/>
  <c r="K378" i="11"/>
  <c r="L378" i="11"/>
  <c r="H379" i="11"/>
  <c r="I379" i="11"/>
  <c r="AI394" i="11"/>
  <c r="AJ394" i="11"/>
  <c r="J379" i="11"/>
  <c r="K379" i="11"/>
  <c r="L379" i="11"/>
  <c r="H380" i="11"/>
  <c r="I380" i="11"/>
  <c r="AK394" i="11"/>
  <c r="AL394" i="11"/>
  <c r="AH395" i="11"/>
  <c r="J380" i="11"/>
  <c r="AI395" i="11"/>
  <c r="AJ395" i="11"/>
  <c r="K380" i="11"/>
  <c r="L380" i="11"/>
  <c r="H381" i="11"/>
  <c r="I381" i="11"/>
  <c r="AK395" i="11"/>
  <c r="AL395" i="11"/>
  <c r="AH396" i="11"/>
  <c r="J381" i="11"/>
  <c r="AI396" i="11"/>
  <c r="AJ396" i="11"/>
  <c r="K381" i="11"/>
  <c r="L381" i="11"/>
  <c r="H382" i="11"/>
  <c r="I382" i="11"/>
  <c r="AK396" i="11"/>
  <c r="AL396" i="11"/>
  <c r="AH397" i="11"/>
  <c r="J382" i="11"/>
  <c r="AI397" i="11"/>
  <c r="AJ397" i="11"/>
  <c r="K382" i="11"/>
  <c r="L382" i="11"/>
  <c r="H383" i="11"/>
  <c r="I383" i="11"/>
  <c r="AK397" i="11"/>
  <c r="AL397" i="11"/>
  <c r="AH398" i="11"/>
  <c r="J383" i="11"/>
  <c r="AI398" i="11"/>
  <c r="AJ398" i="11"/>
  <c r="K383" i="11"/>
  <c r="L383" i="11"/>
  <c r="H384" i="11"/>
  <c r="I384" i="11"/>
  <c r="AK398" i="11"/>
  <c r="AL398" i="11"/>
  <c r="AH399" i="11"/>
  <c r="J384" i="11"/>
  <c r="AI399" i="11"/>
  <c r="AJ399" i="11"/>
  <c r="K384" i="11"/>
  <c r="L384" i="11"/>
  <c r="H385" i="11"/>
  <c r="AK399" i="11"/>
  <c r="AL399" i="11"/>
  <c r="AH400" i="11"/>
  <c r="AI400" i="11"/>
  <c r="J385" i="11"/>
  <c r="I385" i="11"/>
  <c r="AJ400" i="11"/>
  <c r="AK400" i="11"/>
  <c r="AL400" i="11"/>
  <c r="AH401" i="11"/>
  <c r="K385" i="11"/>
  <c r="L385" i="11"/>
  <c r="H386" i="11"/>
  <c r="I386" i="11"/>
  <c r="AI401" i="11"/>
  <c r="AJ401" i="11"/>
  <c r="J386" i="11"/>
  <c r="K386" i="11"/>
  <c r="L386" i="11"/>
  <c r="H387" i="11"/>
  <c r="I387" i="11"/>
  <c r="AK401" i="11"/>
  <c r="AL401" i="11"/>
  <c r="AH402" i="11"/>
  <c r="AI402" i="11"/>
  <c r="J387" i="11"/>
  <c r="AJ402" i="11"/>
  <c r="AK402" i="11"/>
  <c r="AL402" i="11"/>
  <c r="AH403" i="11"/>
  <c r="K387" i="11"/>
  <c r="L387" i="11"/>
  <c r="H388" i="11"/>
  <c r="I388" i="11"/>
  <c r="AI403" i="11"/>
  <c r="AJ403" i="11"/>
  <c r="J388" i="11"/>
  <c r="K388" i="11"/>
  <c r="L388" i="11"/>
  <c r="H389" i="11"/>
  <c r="I389" i="11"/>
  <c r="AK403" i="11"/>
  <c r="AL403" i="11"/>
  <c r="AH404" i="11"/>
  <c r="AI404" i="11"/>
  <c r="J389" i="11"/>
  <c r="AJ404" i="11"/>
  <c r="AK404" i="11"/>
  <c r="AL404" i="11"/>
  <c r="AH405" i="11"/>
  <c r="AI405" i="11"/>
  <c r="K389" i="11"/>
  <c r="L389" i="11"/>
  <c r="H390" i="11"/>
  <c r="I390" i="11"/>
  <c r="AJ405" i="11"/>
  <c r="AK405" i="11"/>
  <c r="AL405" i="11"/>
  <c r="AH406" i="11"/>
  <c r="J390" i="11"/>
  <c r="K390" i="11"/>
  <c r="L390" i="11"/>
  <c r="H391" i="11"/>
  <c r="AI406" i="11"/>
  <c r="AJ406" i="11"/>
  <c r="J391" i="11"/>
  <c r="I391" i="11"/>
  <c r="AK406" i="11"/>
  <c r="AL406" i="11"/>
  <c r="AH407" i="11"/>
  <c r="K391" i="11"/>
  <c r="L391" i="11"/>
  <c r="H392" i="11"/>
  <c r="I392" i="11"/>
  <c r="AJ407" i="11"/>
  <c r="AI407" i="11"/>
  <c r="J392" i="11"/>
  <c r="K392" i="11"/>
  <c r="L392" i="11"/>
  <c r="H393" i="11"/>
  <c r="I393" i="11"/>
  <c r="AK407" i="11"/>
  <c r="AL407" i="11"/>
  <c r="AH408" i="11"/>
  <c r="AI408" i="11"/>
  <c r="J393" i="11"/>
  <c r="AJ408" i="11"/>
  <c r="AK408" i="11"/>
  <c r="AL408" i="11"/>
  <c r="AH409" i="11"/>
  <c r="AI409" i="11"/>
  <c r="K393" i="11"/>
  <c r="L393" i="11"/>
  <c r="H394" i="11"/>
  <c r="AJ409" i="11"/>
  <c r="AK409" i="11"/>
  <c r="AL409" i="11"/>
  <c r="AH410" i="11"/>
  <c r="AI410" i="11"/>
  <c r="J394" i="11"/>
  <c r="I394" i="11"/>
  <c r="AJ410" i="11"/>
  <c r="AK410" i="11"/>
  <c r="AL410" i="11"/>
  <c r="AH411" i="11"/>
  <c r="AI411" i="11"/>
  <c r="K394" i="11"/>
  <c r="L394" i="11"/>
  <c r="H395" i="11"/>
  <c r="I395" i="11"/>
  <c r="AJ411" i="11"/>
  <c r="AK411" i="11"/>
  <c r="AL411" i="11"/>
  <c r="AH412" i="11"/>
  <c r="AJ412" i="11"/>
  <c r="J395" i="11"/>
  <c r="K395" i="11"/>
  <c r="L395" i="11"/>
  <c r="H396" i="11"/>
  <c r="AI412" i="11"/>
  <c r="AK412" i="11"/>
  <c r="AL412" i="11"/>
  <c r="AH413" i="11"/>
  <c r="AI413" i="11"/>
  <c r="J396" i="11"/>
  <c r="I396" i="11"/>
  <c r="AJ413" i="11"/>
  <c r="AK413" i="11"/>
  <c r="AL413" i="11"/>
  <c r="AH414" i="11"/>
  <c r="K396" i="11"/>
  <c r="L396" i="11"/>
  <c r="H397" i="11"/>
  <c r="J397" i="11"/>
  <c r="I397" i="11"/>
  <c r="K397" i="11"/>
  <c r="L397" i="11"/>
  <c r="H398" i="11"/>
  <c r="AI414" i="11"/>
  <c r="AJ414" i="11"/>
  <c r="J398" i="11"/>
  <c r="I398" i="11"/>
  <c r="AK414" i="11"/>
  <c r="AL414" i="11"/>
  <c r="AH415" i="11"/>
  <c r="K398" i="11"/>
  <c r="L398" i="11"/>
  <c r="H399" i="11"/>
  <c r="I399" i="11"/>
  <c r="AI415" i="11"/>
  <c r="AJ415" i="11"/>
  <c r="AK415" i="11"/>
  <c r="AL415" i="11"/>
  <c r="AH416" i="11"/>
  <c r="AI416" i="11"/>
  <c r="J399" i="11"/>
  <c r="K399" i="11"/>
  <c r="L399" i="11"/>
  <c r="H400" i="11"/>
  <c r="I400" i="11"/>
  <c r="AJ416" i="11"/>
  <c r="AK416" i="11"/>
  <c r="AL416" i="11"/>
  <c r="AH417" i="11"/>
  <c r="AI417" i="11"/>
  <c r="J400" i="11"/>
  <c r="K400" i="11"/>
  <c r="L400" i="11"/>
  <c r="H401" i="11"/>
  <c r="I401" i="11"/>
  <c r="AJ417" i="11"/>
  <c r="AK417" i="11"/>
  <c r="AL417" i="11"/>
  <c r="AH418" i="11"/>
  <c r="J401" i="11"/>
  <c r="AI418" i="11"/>
  <c r="AJ418" i="11"/>
  <c r="K401" i="11"/>
  <c r="L401" i="11"/>
  <c r="H402" i="11"/>
  <c r="I402" i="11"/>
  <c r="AK418" i="11"/>
  <c r="AL418" i="11"/>
  <c r="AH419" i="11"/>
  <c r="J402" i="11"/>
  <c r="AI419" i="11"/>
  <c r="AJ419" i="11"/>
  <c r="K402" i="11"/>
  <c r="L402" i="11"/>
  <c r="H403" i="11"/>
  <c r="I403" i="11"/>
  <c r="AK419" i="11"/>
  <c r="AL419" i="11"/>
  <c r="AH420" i="11"/>
  <c r="AI420" i="11"/>
  <c r="J403" i="11"/>
  <c r="AJ420" i="11"/>
  <c r="AK420" i="11"/>
  <c r="AL420" i="11"/>
  <c r="AH421" i="11"/>
  <c r="K403" i="11"/>
  <c r="L403" i="11"/>
  <c r="H404" i="11"/>
  <c r="I404" i="11"/>
  <c r="AI421" i="11"/>
  <c r="AJ421" i="11"/>
  <c r="J404" i="11"/>
  <c r="AK421" i="11"/>
  <c r="AL421" i="11"/>
  <c r="AH422" i="11"/>
  <c r="K404" i="11"/>
  <c r="L404" i="11"/>
  <c r="H405" i="11"/>
  <c r="I405" i="11"/>
  <c r="AI422" i="11"/>
  <c r="AJ422" i="11"/>
  <c r="J405" i="11"/>
  <c r="AK422" i="11"/>
  <c r="AL422" i="11"/>
  <c r="AH423" i="11"/>
  <c r="K405" i="11"/>
  <c r="L405" i="11"/>
  <c r="H406" i="11"/>
  <c r="I406" i="11"/>
  <c r="AI423" i="11"/>
  <c r="AJ423" i="11"/>
  <c r="J406" i="11"/>
  <c r="AK423" i="11"/>
  <c r="AL423" i="11"/>
  <c r="AH424" i="11"/>
  <c r="AI424" i="11"/>
  <c r="K406" i="11"/>
  <c r="L406" i="11"/>
  <c r="H407" i="11"/>
  <c r="I407" i="11"/>
  <c r="AJ424" i="11"/>
  <c r="AK424" i="11"/>
  <c r="AL424" i="11"/>
  <c r="AH425" i="11"/>
  <c r="J407" i="11"/>
  <c r="AI425" i="11"/>
  <c r="AJ425" i="11"/>
  <c r="K407" i="11"/>
  <c r="L407" i="11"/>
  <c r="H408" i="11"/>
  <c r="I408" i="11"/>
  <c r="AK425" i="11"/>
  <c r="AL425" i="11"/>
  <c r="AH426" i="11"/>
  <c r="J408" i="11"/>
  <c r="K408" i="11"/>
  <c r="L408" i="11"/>
  <c r="H409" i="11"/>
  <c r="I409" i="11"/>
  <c r="AI426" i="11"/>
  <c r="AJ426" i="11"/>
  <c r="J409" i="11"/>
  <c r="AK426" i="11"/>
  <c r="AL426" i="11"/>
  <c r="AH427" i="11"/>
  <c r="AI427" i="11"/>
  <c r="K409" i="11"/>
  <c r="L409" i="11"/>
  <c r="H410" i="11"/>
  <c r="I410" i="11"/>
  <c r="AJ427" i="11"/>
  <c r="AK427" i="11"/>
  <c r="AL427" i="11"/>
  <c r="AH428" i="11"/>
  <c r="J410" i="11"/>
  <c r="AI428" i="11"/>
  <c r="AJ428" i="11"/>
  <c r="K410" i="11"/>
  <c r="L410" i="11"/>
  <c r="H411" i="11"/>
  <c r="I411" i="11"/>
  <c r="AK428" i="11"/>
  <c r="AL428" i="11"/>
  <c r="AH429" i="11"/>
  <c r="J411" i="11"/>
  <c r="AI429" i="11"/>
  <c r="AJ429" i="11"/>
  <c r="K411" i="11"/>
  <c r="L411" i="11"/>
  <c r="H412" i="11"/>
  <c r="I412" i="11"/>
  <c r="AK429" i="11"/>
  <c r="AL429" i="11"/>
  <c r="AH430" i="11"/>
  <c r="AI430" i="11"/>
  <c r="J412" i="11"/>
  <c r="AJ430" i="11"/>
  <c r="AK430" i="11"/>
  <c r="AL430" i="11"/>
  <c r="AH431" i="11"/>
  <c r="K412" i="11"/>
  <c r="L412" i="11"/>
  <c r="H413" i="11"/>
  <c r="I413" i="11"/>
  <c r="AI431" i="11"/>
  <c r="AJ431" i="11"/>
  <c r="J413" i="11"/>
  <c r="AK431" i="11"/>
  <c r="AL431" i="11"/>
  <c r="AH432" i="11"/>
  <c r="K413" i="11"/>
  <c r="L413" i="11"/>
  <c r="H414" i="11"/>
  <c r="I414" i="11"/>
  <c r="AI432" i="11"/>
  <c r="AJ432" i="11"/>
  <c r="J414" i="11"/>
  <c r="AK432" i="11"/>
  <c r="AL432" i="11"/>
  <c r="AH433" i="11"/>
  <c r="K414" i="11"/>
  <c r="L414" i="11"/>
  <c r="H415" i="11"/>
  <c r="I415" i="11"/>
  <c r="AI433" i="11"/>
  <c r="AJ433" i="11"/>
  <c r="J415" i="11"/>
  <c r="AK433" i="11"/>
  <c r="AL433" i="11"/>
  <c r="AH434" i="11"/>
  <c r="K415" i="11"/>
  <c r="L415" i="11"/>
  <c r="H416" i="11"/>
  <c r="I416" i="11"/>
  <c r="AI434" i="11"/>
  <c r="AJ434" i="11"/>
  <c r="J416" i="11"/>
  <c r="K416" i="11"/>
  <c r="L416" i="11"/>
  <c r="H417" i="11"/>
  <c r="I417" i="11"/>
  <c r="AK434" i="11"/>
  <c r="AL434" i="11"/>
  <c r="AH435" i="11"/>
  <c r="AI435" i="11"/>
  <c r="J417" i="11"/>
  <c r="AJ435" i="11"/>
  <c r="AK435" i="11"/>
  <c r="AL435" i="11"/>
  <c r="AH436" i="11"/>
  <c r="K417" i="11"/>
  <c r="L417" i="11"/>
  <c r="H418" i="11"/>
  <c r="I418" i="11"/>
  <c r="AI436" i="11"/>
  <c r="AJ436" i="11"/>
  <c r="J418" i="11"/>
  <c r="AK436" i="11"/>
  <c r="AL436" i="11"/>
  <c r="AH437" i="11"/>
  <c r="K418" i="11"/>
  <c r="L418" i="11"/>
  <c r="H419" i="11"/>
  <c r="I419" i="11"/>
  <c r="AI437" i="11"/>
  <c r="AJ437" i="11"/>
  <c r="J419" i="11"/>
  <c r="AK437" i="11"/>
  <c r="AL437" i="11"/>
  <c r="AH438" i="11"/>
  <c r="K419" i="11"/>
  <c r="L419" i="11"/>
  <c r="H420" i="11"/>
  <c r="I420" i="11"/>
  <c r="AI438" i="11"/>
  <c r="AJ438" i="11"/>
  <c r="J420" i="11"/>
  <c r="AK438" i="11"/>
  <c r="AL438" i="11"/>
  <c r="AH439" i="11"/>
  <c r="AI439" i="11"/>
  <c r="K420" i="11"/>
  <c r="L420" i="11"/>
  <c r="H421" i="11"/>
  <c r="I421" i="11"/>
  <c r="AJ439" i="11"/>
  <c r="AK439" i="11"/>
  <c r="AL439" i="11"/>
  <c r="AH440" i="11"/>
  <c r="J421" i="11"/>
  <c r="AI440" i="11"/>
  <c r="AJ440" i="11"/>
  <c r="K421" i="11"/>
  <c r="L421" i="11"/>
  <c r="H422" i="11"/>
  <c r="I422" i="11"/>
  <c r="AK440" i="11"/>
  <c r="AL440" i="11"/>
  <c r="AH441" i="11"/>
  <c r="J422" i="11"/>
  <c r="AI441" i="11"/>
  <c r="AJ441" i="11"/>
  <c r="K422" i="11"/>
  <c r="L422" i="11"/>
  <c r="H423" i="11"/>
  <c r="I423" i="11"/>
  <c r="AK441" i="11"/>
  <c r="AL441" i="11"/>
  <c r="AH442" i="11"/>
  <c r="J423" i="11"/>
  <c r="AI442" i="11"/>
  <c r="AJ442" i="11"/>
  <c r="K423" i="11"/>
  <c r="L423" i="11"/>
  <c r="H424" i="11"/>
  <c r="I424" i="11"/>
  <c r="AK442" i="11"/>
  <c r="AL442" i="11"/>
  <c r="AH443" i="11"/>
  <c r="J424" i="11"/>
  <c r="AI443" i="11"/>
  <c r="AJ443" i="11"/>
  <c r="K424" i="11"/>
  <c r="L424" i="11"/>
  <c r="H425" i="11"/>
  <c r="I425" i="11"/>
  <c r="AK443" i="11"/>
  <c r="AL443" i="11"/>
  <c r="AH444" i="11"/>
  <c r="J425" i="11"/>
  <c r="AI444" i="11"/>
  <c r="AJ444" i="11"/>
  <c r="K425" i="11"/>
  <c r="L425" i="11"/>
  <c r="H426" i="11"/>
  <c r="I426" i="11"/>
  <c r="AK444" i="11"/>
  <c r="AL444" i="11"/>
  <c r="AH445" i="11"/>
  <c r="J426" i="11"/>
  <c r="AI445" i="11"/>
  <c r="AJ445" i="11"/>
  <c r="K426" i="11"/>
  <c r="L426" i="11"/>
  <c r="H427" i="11"/>
  <c r="I427" i="11"/>
  <c r="AK445" i="11"/>
  <c r="AL445" i="11"/>
  <c r="AH446" i="11"/>
  <c r="J427" i="11"/>
  <c r="AI446" i="11"/>
  <c r="AJ446" i="11"/>
  <c r="K427" i="11"/>
  <c r="L427" i="11"/>
  <c r="H428" i="11"/>
  <c r="I428" i="11"/>
  <c r="AK446" i="11"/>
  <c r="AL446" i="11"/>
  <c r="AH447" i="11"/>
  <c r="J428" i="11"/>
  <c r="AI447" i="11"/>
  <c r="AJ447" i="11"/>
  <c r="K428" i="11"/>
  <c r="L428" i="11"/>
  <c r="H429" i="11"/>
  <c r="I429" i="11"/>
  <c r="AK447" i="11"/>
  <c r="AL447" i="11"/>
  <c r="AH448" i="11"/>
  <c r="AI448" i="11"/>
  <c r="J429" i="11"/>
  <c r="AJ448" i="11"/>
  <c r="AK448" i="11"/>
  <c r="AL448" i="11"/>
  <c r="AH449" i="11"/>
  <c r="K429" i="11"/>
  <c r="L429" i="11"/>
  <c r="H430" i="11"/>
  <c r="I430" i="11"/>
  <c r="AI449" i="11"/>
  <c r="AJ449" i="11"/>
  <c r="J430" i="11"/>
  <c r="AK449" i="11"/>
  <c r="AL449" i="11"/>
  <c r="AH450" i="11"/>
  <c r="AI450" i="11"/>
  <c r="K430" i="11"/>
  <c r="L430" i="11"/>
  <c r="H431" i="11"/>
  <c r="I431" i="11"/>
  <c r="AJ450" i="11"/>
  <c r="AK450" i="11"/>
  <c r="AL450" i="11"/>
  <c r="AH451" i="11"/>
  <c r="J431" i="11"/>
  <c r="AI451" i="11"/>
  <c r="AJ451" i="11"/>
  <c r="K431" i="11"/>
  <c r="L431" i="11"/>
  <c r="H432" i="11"/>
  <c r="AK451" i="11"/>
  <c r="AL451" i="11"/>
  <c r="AH452" i="11"/>
  <c r="AI452" i="11"/>
  <c r="J432" i="11"/>
  <c r="I432" i="11"/>
  <c r="K432" i="11"/>
  <c r="L432" i="11"/>
  <c r="H433" i="11"/>
  <c r="I433" i="11"/>
  <c r="AJ452" i="11"/>
  <c r="AK452" i="11"/>
  <c r="AL452" i="11"/>
  <c r="AH453" i="11"/>
  <c r="J433" i="11"/>
  <c r="K433" i="11"/>
  <c r="L433" i="11"/>
  <c r="H434" i="11"/>
  <c r="I434" i="11"/>
  <c r="AI453" i="11"/>
  <c r="AJ453" i="11"/>
  <c r="J434" i="11"/>
  <c r="K434" i="11"/>
  <c r="L434" i="11"/>
  <c r="H435" i="11"/>
  <c r="I435" i="11"/>
  <c r="AK453" i="11"/>
  <c r="AL453" i="11"/>
  <c r="AH454" i="11"/>
  <c r="AI454" i="11"/>
  <c r="AJ454" i="11"/>
  <c r="AK454" i="11"/>
  <c r="AL454" i="11"/>
  <c r="AH455" i="11"/>
  <c r="J435" i="11"/>
  <c r="AI455" i="11"/>
  <c r="AJ455" i="11"/>
  <c r="K435" i="11"/>
  <c r="L435" i="11"/>
  <c r="H436" i="11"/>
  <c r="I436" i="11"/>
  <c r="AK455" i="11"/>
  <c r="AL455" i="11"/>
  <c r="AH456" i="11"/>
  <c r="J436" i="11"/>
  <c r="AI456" i="11"/>
  <c r="AJ456" i="11"/>
  <c r="K436" i="11"/>
  <c r="L436" i="11"/>
  <c r="H437" i="11"/>
  <c r="I437" i="11"/>
  <c r="AK456" i="11"/>
  <c r="AL456" i="11"/>
  <c r="AH457" i="11"/>
  <c r="J437" i="11"/>
  <c r="AI457" i="11"/>
  <c r="AJ457" i="11"/>
  <c r="K437" i="11"/>
  <c r="L437" i="11"/>
  <c r="H438" i="11"/>
  <c r="I438" i="11"/>
  <c r="AK457" i="11"/>
  <c r="AL457" i="11"/>
  <c r="AH458" i="11"/>
  <c r="J438" i="11"/>
  <c r="AI458" i="11"/>
  <c r="AJ458" i="11"/>
  <c r="K438" i="11"/>
  <c r="L438" i="11"/>
  <c r="H439" i="11"/>
  <c r="I439" i="11"/>
  <c r="AK458" i="11"/>
  <c r="AL458" i="11"/>
  <c r="AH459" i="11"/>
  <c r="J439" i="11"/>
  <c r="AI459" i="11"/>
  <c r="AJ459" i="11"/>
  <c r="K439" i="11"/>
  <c r="L439" i="11"/>
  <c r="H440" i="11"/>
  <c r="AK459" i="11"/>
  <c r="AL459" i="11"/>
  <c r="AH460" i="11"/>
  <c r="AI460" i="11"/>
  <c r="J440" i="11"/>
  <c r="I440" i="11"/>
  <c r="K440" i="11"/>
  <c r="L440" i="11"/>
  <c r="H441" i="11"/>
  <c r="I441" i="11"/>
  <c r="AJ460" i="11"/>
  <c r="AK460" i="11"/>
  <c r="AL460" i="11"/>
  <c r="AH461" i="11"/>
  <c r="J441" i="11"/>
  <c r="K441" i="11"/>
  <c r="L441" i="11"/>
  <c r="H442" i="11"/>
  <c r="AI461" i="11"/>
  <c r="AJ461" i="11"/>
  <c r="AK461" i="11"/>
  <c r="AL461" i="11"/>
  <c r="AH462" i="11"/>
  <c r="J442" i="11"/>
  <c r="I442" i="11"/>
  <c r="K442" i="11"/>
  <c r="L442" i="11"/>
  <c r="H443" i="11"/>
  <c r="I443" i="11"/>
  <c r="AI462" i="11"/>
  <c r="AJ462" i="11"/>
  <c r="J443" i="11"/>
  <c r="K443" i="11"/>
  <c r="L443" i="11"/>
  <c r="H444" i="11"/>
  <c r="AK462" i="11"/>
  <c r="AL462" i="11"/>
  <c r="AH463" i="11"/>
  <c r="AI463" i="11"/>
  <c r="AJ463" i="11"/>
  <c r="AK463" i="11"/>
  <c r="AL463" i="11"/>
  <c r="AH464" i="11"/>
  <c r="J444" i="11"/>
  <c r="I444" i="11"/>
  <c r="AI464" i="11"/>
  <c r="AJ464" i="11"/>
  <c r="K444" i="11"/>
  <c r="L444" i="11"/>
  <c r="H445" i="11"/>
  <c r="I445" i="11"/>
  <c r="AK464" i="11"/>
  <c r="AL464" i="11"/>
  <c r="AH465" i="11"/>
  <c r="AJ465" i="11"/>
  <c r="J445" i="11"/>
  <c r="AI465" i="11"/>
  <c r="AK465" i="11"/>
  <c r="AL465" i="11"/>
  <c r="AH466" i="11"/>
  <c r="AI466" i="11"/>
  <c r="K445" i="11"/>
  <c r="L445" i="11"/>
  <c r="H446" i="11"/>
  <c r="I446" i="11"/>
  <c r="AJ466" i="11"/>
  <c r="AK466" i="11"/>
  <c r="AL466" i="11"/>
  <c r="AH467" i="11"/>
  <c r="J446" i="11"/>
  <c r="K446" i="11"/>
  <c r="L446" i="11"/>
  <c r="H447" i="11"/>
  <c r="I447" i="11"/>
  <c r="AI467" i="11"/>
  <c r="AJ467" i="11"/>
  <c r="J447" i="11"/>
  <c r="K447" i="11"/>
  <c r="L447" i="11"/>
  <c r="H448" i="11"/>
  <c r="AK467" i="11"/>
  <c r="AL467" i="11"/>
  <c r="AH468" i="11"/>
  <c r="AI468" i="11"/>
  <c r="J448" i="11"/>
  <c r="I448" i="11"/>
  <c r="AJ468" i="11"/>
  <c r="AK468" i="11"/>
  <c r="AL468" i="11"/>
  <c r="AH469" i="11"/>
  <c r="AJ469" i="11"/>
  <c r="K448" i="11"/>
  <c r="L448" i="11"/>
  <c r="H449" i="11"/>
  <c r="I449" i="11"/>
  <c r="AI469" i="11"/>
  <c r="AK469" i="11"/>
  <c r="AL469" i="11"/>
  <c r="AH470" i="11"/>
  <c r="J449" i="11"/>
  <c r="K449" i="11"/>
  <c r="L449" i="11"/>
  <c r="H450" i="11"/>
  <c r="I450" i="11"/>
  <c r="AI470" i="11"/>
  <c r="AJ470" i="11"/>
  <c r="J450" i="11"/>
  <c r="K450" i="11"/>
  <c r="L450" i="11"/>
  <c r="H451" i="11"/>
  <c r="AK470" i="11"/>
  <c r="AL470" i="11"/>
  <c r="AH471" i="11"/>
  <c r="AJ471" i="11"/>
  <c r="I451" i="11"/>
  <c r="J451" i="11"/>
  <c r="AI471" i="11"/>
  <c r="AK471" i="11"/>
  <c r="AL471" i="11"/>
  <c r="AH472" i="11"/>
  <c r="K451" i="11"/>
  <c r="L451" i="11"/>
  <c r="H452" i="11"/>
  <c r="I452" i="11"/>
  <c r="AI472" i="11"/>
  <c r="AJ472" i="11"/>
  <c r="J452" i="11"/>
  <c r="K452" i="11"/>
  <c r="L452" i="11"/>
  <c r="H453" i="11"/>
  <c r="I453" i="11"/>
  <c r="AK472" i="11"/>
  <c r="AL472" i="11"/>
  <c r="AH473" i="11"/>
  <c r="AI473" i="11"/>
  <c r="J453" i="11"/>
  <c r="AJ473" i="11"/>
  <c r="AK473" i="11"/>
  <c r="AL473" i="11"/>
  <c r="AH474" i="11"/>
  <c r="K453" i="11"/>
  <c r="L453" i="11"/>
  <c r="H454" i="11"/>
  <c r="I454" i="11"/>
  <c r="AI474" i="11"/>
  <c r="AJ474" i="11"/>
  <c r="J454" i="11"/>
  <c r="AK474" i="11"/>
  <c r="AL474" i="11"/>
  <c r="AH475" i="11"/>
  <c r="K454" i="11"/>
  <c r="L454" i="11"/>
  <c r="H455" i="11"/>
  <c r="AI475" i="11"/>
  <c r="AJ475" i="11"/>
  <c r="J455" i="11"/>
  <c r="I455" i="11"/>
  <c r="K455" i="11"/>
  <c r="L455" i="11"/>
  <c r="H456" i="11"/>
  <c r="I456" i="11"/>
  <c r="AK475" i="11"/>
  <c r="AL475" i="11"/>
  <c r="AH476" i="11"/>
  <c r="AI476" i="11"/>
  <c r="J456" i="11"/>
  <c r="K456" i="11"/>
  <c r="L456" i="11"/>
  <c r="H457" i="11"/>
  <c r="I457" i="11"/>
  <c r="AJ476" i="11"/>
  <c r="AK476" i="11"/>
  <c r="AL476" i="11"/>
  <c r="AH477" i="11"/>
  <c r="AI477" i="11"/>
  <c r="AJ477" i="11"/>
  <c r="J457" i="11"/>
  <c r="AK477" i="11"/>
  <c r="AL477" i="11"/>
  <c r="AH478" i="11"/>
  <c r="K457" i="11"/>
  <c r="L457" i="11"/>
  <c r="H458" i="11"/>
  <c r="I458" i="11"/>
  <c r="AI478" i="11"/>
  <c r="AJ478" i="11"/>
  <c r="J458" i="11"/>
  <c r="AK478" i="11"/>
  <c r="AL478" i="11"/>
  <c r="AH479" i="11"/>
  <c r="AI479" i="11"/>
  <c r="K458" i="11"/>
  <c r="L458" i="11"/>
  <c r="H459" i="11"/>
  <c r="I459" i="11"/>
  <c r="AJ479" i="11"/>
  <c r="AK479" i="11"/>
  <c r="AL479" i="11"/>
  <c r="AH480" i="11"/>
  <c r="J459" i="11"/>
  <c r="K459" i="11"/>
  <c r="L459" i="11"/>
  <c r="H460" i="11"/>
  <c r="I460" i="11"/>
  <c r="AI480" i="11"/>
  <c r="AJ480" i="11"/>
  <c r="J460" i="11"/>
  <c r="AK480" i="11"/>
  <c r="AL480" i="11"/>
  <c r="AH481" i="11"/>
  <c r="K460" i="11"/>
  <c r="L460" i="11"/>
  <c r="H461" i="11"/>
  <c r="I461" i="11"/>
  <c r="AI481" i="11"/>
  <c r="AJ481" i="11"/>
  <c r="J461" i="11"/>
  <c r="AK481" i="11"/>
  <c r="AL481" i="11"/>
  <c r="AH482" i="11"/>
  <c r="K461" i="11"/>
  <c r="L461" i="11"/>
  <c r="H462" i="11"/>
  <c r="I462" i="11"/>
  <c r="AI482" i="11"/>
  <c r="AJ482" i="11"/>
  <c r="J462" i="11"/>
  <c r="AK482" i="11"/>
  <c r="AL482" i="11"/>
  <c r="AH483" i="11"/>
  <c r="K462" i="11"/>
  <c r="L462" i="11"/>
  <c r="H463" i="11"/>
  <c r="AI483" i="11"/>
  <c r="AJ483" i="11"/>
  <c r="J463" i="11"/>
  <c r="I463" i="11"/>
  <c r="AK483" i="11"/>
  <c r="AL483" i="11"/>
  <c r="AH484" i="11"/>
  <c r="AI484" i="11"/>
  <c r="K463" i="11"/>
  <c r="L463" i="11"/>
  <c r="H464" i="11"/>
  <c r="I464" i="11"/>
  <c r="AJ484" i="11"/>
  <c r="AK484" i="11"/>
  <c r="AL484" i="11"/>
  <c r="AH485" i="11"/>
  <c r="AI485" i="11"/>
  <c r="J464" i="11"/>
  <c r="K464" i="11"/>
  <c r="L464" i="11"/>
  <c r="H465" i="11"/>
  <c r="I465" i="11"/>
  <c r="AJ485" i="11"/>
  <c r="AK485" i="11"/>
  <c r="AL485" i="11"/>
  <c r="AH486" i="11"/>
  <c r="AI486" i="11"/>
  <c r="J465" i="11"/>
  <c r="AJ486" i="11"/>
  <c r="AK486" i="11"/>
  <c r="AL486" i="11"/>
  <c r="AH487" i="11"/>
  <c r="AI487" i="11"/>
  <c r="K465" i="11"/>
  <c r="L465" i="11"/>
  <c r="H466" i="11"/>
  <c r="I466" i="11"/>
  <c r="AJ487" i="11"/>
  <c r="AK487" i="11"/>
  <c r="AL487" i="11"/>
  <c r="AH488" i="11"/>
  <c r="J466" i="11"/>
  <c r="AI488" i="11"/>
  <c r="AJ488" i="11"/>
  <c r="K466" i="11"/>
  <c r="L466" i="11"/>
  <c r="H467" i="11"/>
  <c r="I467" i="11"/>
  <c r="AK488" i="11"/>
  <c r="AL488" i="11"/>
  <c r="AH489" i="11"/>
  <c r="J467" i="11"/>
  <c r="AI489" i="11"/>
  <c r="AJ489" i="11"/>
  <c r="K467" i="11"/>
  <c r="L467" i="11"/>
  <c r="H468" i="11"/>
  <c r="AK489" i="11"/>
  <c r="AL489" i="11"/>
  <c r="AH490" i="11"/>
  <c r="AI490" i="11"/>
  <c r="J468" i="11"/>
  <c r="I468" i="11"/>
  <c r="AJ490" i="11"/>
  <c r="AK490" i="11"/>
  <c r="AL490" i="11"/>
  <c r="AH491" i="11"/>
  <c r="AI491" i="11"/>
  <c r="K468" i="11"/>
  <c r="L468" i="11"/>
  <c r="H469" i="11"/>
  <c r="I469" i="11"/>
  <c r="AJ491" i="11"/>
  <c r="AK491" i="11"/>
  <c r="AL491" i="11"/>
  <c r="AH492" i="11"/>
  <c r="J469" i="11"/>
  <c r="AI492" i="11"/>
  <c r="AJ492" i="11"/>
  <c r="K469" i="11"/>
  <c r="L469" i="11"/>
  <c r="H470" i="11"/>
  <c r="I470" i="11"/>
  <c r="AK492" i="11"/>
  <c r="AL492" i="11"/>
  <c r="AH493" i="11"/>
  <c r="AI493" i="11"/>
  <c r="J470" i="11"/>
  <c r="AJ493" i="11"/>
  <c r="AK493" i="11"/>
  <c r="AL493" i="11"/>
  <c r="AH494" i="11"/>
  <c r="K470" i="11"/>
  <c r="L470" i="11"/>
  <c r="H471" i="11"/>
  <c r="I471" i="11"/>
  <c r="AI494" i="11"/>
  <c r="AJ494" i="11"/>
  <c r="J471" i="11"/>
  <c r="AK494" i="11"/>
  <c r="AL494" i="11"/>
  <c r="AH495" i="11"/>
  <c r="K471" i="11"/>
  <c r="L471" i="11"/>
  <c r="H472" i="11"/>
  <c r="I472" i="11"/>
  <c r="AI495" i="11"/>
  <c r="AJ495" i="11"/>
  <c r="J472" i="11"/>
  <c r="AK495" i="11"/>
  <c r="AL495" i="11"/>
  <c r="AH496" i="11"/>
  <c r="K472" i="11"/>
  <c r="L472" i="11"/>
  <c r="H473" i="11"/>
  <c r="I473" i="11"/>
  <c r="AI496" i="11"/>
  <c r="AJ496" i="11"/>
  <c r="J473" i="11"/>
  <c r="K473" i="11"/>
  <c r="L473" i="11"/>
  <c r="H474" i="11"/>
  <c r="I474" i="11"/>
  <c r="AK496" i="11"/>
  <c r="AL496" i="11"/>
  <c r="AH497" i="11"/>
  <c r="J474" i="11"/>
  <c r="AI497" i="11"/>
  <c r="AJ497" i="11"/>
  <c r="K474" i="11"/>
  <c r="L474" i="11"/>
  <c r="H475" i="11"/>
  <c r="I475" i="11"/>
  <c r="AK497" i="11"/>
  <c r="AL497" i="11"/>
  <c r="J475" i="11"/>
  <c r="K475" i="11"/>
  <c r="L475" i="11"/>
  <c r="H476" i="11"/>
  <c r="I476" i="11"/>
  <c r="J476" i="11"/>
  <c r="K476" i="11"/>
  <c r="L476" i="11"/>
  <c r="H477" i="11"/>
  <c r="I477" i="11"/>
  <c r="J477" i="11"/>
  <c r="K477" i="11"/>
  <c r="L477" i="11"/>
  <c r="H478" i="11"/>
  <c r="I478" i="11"/>
  <c r="J478" i="11"/>
  <c r="K478" i="11"/>
  <c r="L478" i="11"/>
  <c r="H479" i="11"/>
  <c r="I479" i="11"/>
  <c r="J479" i="11"/>
  <c r="K479" i="11"/>
  <c r="L479" i="11"/>
  <c r="H480" i="11"/>
  <c r="I480" i="11"/>
  <c r="J480" i="11"/>
  <c r="K480" i="11"/>
  <c r="L480" i="11"/>
  <c r="H481" i="11"/>
  <c r="I481" i="11"/>
  <c r="J481" i="11"/>
  <c r="K481" i="11"/>
  <c r="L481" i="11"/>
  <c r="H482" i="11"/>
  <c r="I482" i="11"/>
  <c r="J482" i="11"/>
  <c r="K482" i="11"/>
  <c r="L482" i="11"/>
  <c r="H483" i="11"/>
  <c r="I483" i="11"/>
  <c r="J483" i="11"/>
  <c r="K483" i="11"/>
  <c r="L483" i="11"/>
  <c r="H484" i="11"/>
  <c r="I484" i="11"/>
  <c r="J484" i="11"/>
  <c r="K484" i="11"/>
  <c r="L484" i="11"/>
  <c r="H485" i="11"/>
  <c r="I485" i="11"/>
  <c r="J485" i="11"/>
  <c r="K485" i="11"/>
  <c r="L485" i="11"/>
  <c r="H486" i="11"/>
  <c r="I486" i="11"/>
  <c r="J486" i="11"/>
  <c r="K486" i="11"/>
  <c r="L486" i="11"/>
  <c r="H487" i="11"/>
  <c r="I487" i="11"/>
  <c r="J487" i="11"/>
  <c r="K487" i="11"/>
  <c r="L487" i="11"/>
  <c r="H488" i="11"/>
  <c r="I488" i="11"/>
  <c r="J488" i="11"/>
  <c r="K488" i="11"/>
  <c r="L488" i="11"/>
  <c r="H489" i="11"/>
  <c r="I489" i="11"/>
  <c r="J489" i="11"/>
  <c r="K489" i="11"/>
  <c r="L489" i="11"/>
  <c r="H490" i="11"/>
  <c r="I490" i="11"/>
  <c r="J490" i="11"/>
  <c r="K490" i="11"/>
  <c r="L490" i="11"/>
  <c r="H491" i="11"/>
  <c r="I491" i="11"/>
  <c r="J491" i="11"/>
  <c r="K491" i="11"/>
  <c r="L491" i="11"/>
  <c r="H492" i="11"/>
  <c r="I492" i="11"/>
  <c r="J492" i="11"/>
  <c r="K492" i="11"/>
  <c r="L492" i="11"/>
  <c r="H493" i="11"/>
  <c r="I493" i="11"/>
  <c r="J493" i="11"/>
  <c r="K493" i="11"/>
  <c r="L493" i="11"/>
  <c r="H494" i="11"/>
  <c r="I494" i="11"/>
  <c r="J494" i="11"/>
  <c r="K494" i="11"/>
  <c r="L494" i="11"/>
  <c r="H495" i="11"/>
  <c r="I495" i="11"/>
  <c r="J495" i="11"/>
  <c r="K495" i="11"/>
  <c r="L495" i="11"/>
  <c r="H496" i="11"/>
  <c r="I496" i="11"/>
  <c r="J496" i="11"/>
  <c r="K496" i="11"/>
  <c r="L496" i="11"/>
  <c r="H497" i="11"/>
  <c r="I497" i="11"/>
  <c r="J497" i="11"/>
  <c r="K497" i="11"/>
  <c r="L497" i="11"/>
  <c r="I33" i="18"/>
  <c r="J3" i="18"/>
  <c r="E48" i="2"/>
  <c r="F48" i="2"/>
  <c r="G48" i="2"/>
  <c r="H48" i="2"/>
  <c r="I48" i="2"/>
  <c r="J48" i="2"/>
  <c r="K48" i="2"/>
  <c r="L48" i="2"/>
  <c r="M48" i="2"/>
  <c r="N48" i="2"/>
  <c r="E47" i="2"/>
  <c r="F47" i="2"/>
  <c r="G47" i="2"/>
  <c r="H47" i="2"/>
  <c r="I47" i="2"/>
  <c r="J47" i="2"/>
  <c r="K47" i="2"/>
  <c r="L47" i="2"/>
  <c r="M47" i="2"/>
  <c r="N47" i="2"/>
  <c r="E46" i="2"/>
  <c r="F46" i="2"/>
  <c r="G46" i="2"/>
  <c r="H46" i="2"/>
  <c r="I46" i="2"/>
  <c r="J46" i="2"/>
  <c r="K46" i="2"/>
  <c r="L46" i="2"/>
  <c r="M46" i="2"/>
  <c r="N46" i="2"/>
  <c r="E45" i="2"/>
  <c r="F45" i="2"/>
  <c r="G45" i="2"/>
  <c r="H45" i="2"/>
  <c r="I45" i="2"/>
  <c r="J45" i="2"/>
  <c r="K45" i="2"/>
  <c r="L45" i="2"/>
  <c r="M45" i="2"/>
  <c r="N45" i="2"/>
  <c r="E44" i="2"/>
  <c r="F44" i="2"/>
  <c r="G44" i="2"/>
  <c r="H44" i="2"/>
  <c r="I44" i="2"/>
  <c r="J44" i="2"/>
  <c r="K44" i="2"/>
  <c r="L44" i="2"/>
  <c r="M44" i="2"/>
  <c r="N44" i="2"/>
  <c r="F43" i="2"/>
  <c r="G43" i="2"/>
  <c r="H43" i="2"/>
  <c r="I43" i="2"/>
  <c r="J43" i="2"/>
  <c r="K43" i="2"/>
  <c r="L43" i="2"/>
  <c r="M43" i="2"/>
  <c r="N43" i="2"/>
  <c r="E42" i="2"/>
  <c r="E40" i="2"/>
  <c r="F40" i="2"/>
  <c r="G40" i="2"/>
  <c r="H40" i="2"/>
  <c r="I40" i="2"/>
  <c r="J40" i="2"/>
  <c r="K40" i="2"/>
  <c r="L40" i="2"/>
  <c r="M40" i="2"/>
  <c r="N40" i="2"/>
  <c r="E39" i="2"/>
  <c r="F39" i="2"/>
  <c r="G39" i="2"/>
  <c r="H39" i="2"/>
  <c r="I39" i="2"/>
  <c r="J39" i="2"/>
  <c r="K39" i="2"/>
  <c r="L39" i="2"/>
  <c r="M39" i="2"/>
  <c r="N39" i="2"/>
  <c r="E37" i="2"/>
  <c r="F37" i="2"/>
  <c r="G37" i="2"/>
  <c r="H37" i="2"/>
  <c r="I37" i="2"/>
  <c r="J37" i="2"/>
  <c r="K37" i="2"/>
  <c r="L37" i="2"/>
  <c r="M37" i="2"/>
  <c r="N37" i="2"/>
  <c r="E36" i="2"/>
  <c r="F36" i="2"/>
  <c r="G36" i="2"/>
  <c r="H36" i="2"/>
  <c r="I36" i="2"/>
  <c r="J36" i="2"/>
  <c r="K36" i="2"/>
  <c r="L36" i="2"/>
  <c r="M36" i="2"/>
  <c r="N36" i="2"/>
  <c r="E35" i="2"/>
  <c r="F35" i="2"/>
  <c r="G35" i="2"/>
  <c r="H35" i="2"/>
  <c r="I35" i="2"/>
  <c r="J35" i="2"/>
  <c r="K35" i="2"/>
  <c r="L35" i="2"/>
  <c r="M35" i="2"/>
  <c r="N35" i="2"/>
  <c r="E34" i="2"/>
  <c r="F34" i="2"/>
  <c r="G34" i="2"/>
  <c r="H34" i="2"/>
  <c r="I34" i="2"/>
  <c r="J34" i="2"/>
  <c r="K34" i="2"/>
  <c r="L34" i="2"/>
  <c r="M34" i="2"/>
  <c r="N34" i="2"/>
  <c r="E33" i="2"/>
  <c r="F33" i="2"/>
  <c r="G33" i="2"/>
  <c r="H33" i="2"/>
  <c r="I33" i="2"/>
  <c r="J33" i="2"/>
  <c r="K33" i="2"/>
  <c r="L33" i="2"/>
  <c r="M33" i="2"/>
  <c r="N33" i="2"/>
  <c r="E32" i="2"/>
  <c r="F32" i="2"/>
  <c r="G32" i="2"/>
  <c r="H32" i="2"/>
  <c r="I32" i="2"/>
  <c r="J32" i="2"/>
  <c r="K32" i="2"/>
  <c r="L32" i="2"/>
  <c r="M32" i="2"/>
  <c r="N32" i="2"/>
  <c r="E31" i="2"/>
  <c r="F31" i="2"/>
  <c r="G31" i="2"/>
  <c r="H31" i="2"/>
  <c r="I31" i="2"/>
  <c r="J31" i="2"/>
  <c r="K31" i="2"/>
  <c r="L31" i="2"/>
  <c r="M31" i="2"/>
  <c r="N31" i="2"/>
  <c r="E30" i="2"/>
  <c r="F30" i="2"/>
  <c r="G30" i="2"/>
  <c r="H30" i="2"/>
  <c r="I30" i="2"/>
  <c r="J30" i="2"/>
  <c r="K30" i="2"/>
  <c r="L30" i="2"/>
  <c r="M30" i="2"/>
  <c r="N30" i="2"/>
  <c r="E18" i="2"/>
  <c r="F18" i="2"/>
  <c r="G18" i="2"/>
  <c r="H18" i="2"/>
  <c r="I18" i="2"/>
  <c r="J18" i="2"/>
  <c r="K18" i="2"/>
  <c r="L18" i="2"/>
  <c r="M18" i="2"/>
  <c r="N18" i="2"/>
  <c r="E17" i="2"/>
  <c r="F17" i="2"/>
  <c r="G17" i="2"/>
  <c r="H17" i="2"/>
  <c r="I17" i="2"/>
  <c r="J17" i="2"/>
  <c r="K17" i="2"/>
  <c r="L17" i="2"/>
  <c r="M17" i="2"/>
  <c r="N17" i="2"/>
  <c r="E14" i="2"/>
  <c r="F14" i="2"/>
  <c r="G14" i="2"/>
  <c r="H14" i="2"/>
  <c r="I14" i="2"/>
  <c r="J14" i="2"/>
  <c r="K14" i="2"/>
  <c r="L14" i="2"/>
  <c r="M14" i="2"/>
  <c r="N14" i="2"/>
  <c r="E13" i="2"/>
  <c r="F13" i="2"/>
  <c r="G13" i="2"/>
  <c r="H13" i="2"/>
  <c r="I13" i="2"/>
  <c r="J13" i="2"/>
  <c r="K13" i="2"/>
  <c r="L13" i="2"/>
  <c r="M13" i="2"/>
  <c r="N13" i="2"/>
  <c r="E2" i="2"/>
  <c r="F2" i="2"/>
  <c r="F42" i="2"/>
  <c r="G42" i="2"/>
  <c r="H42" i="2"/>
  <c r="I42" i="2"/>
  <c r="J42" i="2"/>
  <c r="K42" i="2"/>
  <c r="L42" i="2"/>
  <c r="M42" i="2"/>
  <c r="N42" i="2"/>
  <c r="J65" i="18"/>
  <c r="J21" i="18"/>
  <c r="J40" i="18"/>
  <c r="J39" i="18"/>
  <c r="K3" i="18"/>
  <c r="G2" i="2"/>
  <c r="L3" i="18"/>
  <c r="L65" i="18"/>
  <c r="L21" i="18"/>
  <c r="K65" i="18"/>
  <c r="K70" i="18"/>
  <c r="M3" i="18"/>
  <c r="K39" i="18"/>
  <c r="H2" i="2"/>
  <c r="N3" i="18"/>
  <c r="N65" i="18"/>
  <c r="N21" i="18"/>
  <c r="L40" i="18"/>
  <c r="L39" i="18"/>
  <c r="K69" i="18"/>
  <c r="M65" i="18"/>
  <c r="M69" i="18"/>
  <c r="O3" i="18"/>
  <c r="M33" i="18"/>
  <c r="M45" i="18"/>
  <c r="M39" i="18"/>
  <c r="I2" i="2"/>
  <c r="P3" i="18"/>
  <c r="N40" i="18"/>
  <c r="P65" i="18"/>
  <c r="P21" i="18"/>
  <c r="N39" i="18"/>
  <c r="O39" i="18"/>
  <c r="M70" i="18"/>
  <c r="O65" i="18"/>
  <c r="O69" i="18"/>
  <c r="Q3" i="18"/>
  <c r="M47" i="18"/>
  <c r="M55" i="18"/>
  <c r="M66" i="18"/>
  <c r="M63" i="18"/>
  <c r="M75" i="18"/>
  <c r="J2" i="2"/>
  <c r="R3" i="18"/>
  <c r="AR21" i="11"/>
  <c r="AR22" i="11"/>
  <c r="AR23" i="11"/>
  <c r="AN19" i="11"/>
  <c r="AN20" i="11"/>
  <c r="AN21" i="11"/>
  <c r="AN22" i="11"/>
  <c r="AN23" i="11"/>
  <c r="AN24" i="11"/>
  <c r="M79" i="18"/>
  <c r="M84" i="18"/>
  <c r="R65" i="18"/>
  <c r="R21" i="18"/>
  <c r="P40" i="18"/>
  <c r="P39" i="18"/>
  <c r="O70" i="18"/>
  <c r="Q65" i="18"/>
  <c r="Q69" i="18"/>
  <c r="M62" i="18"/>
  <c r="M74" i="18"/>
  <c r="S3" i="18"/>
  <c r="Q45" i="18"/>
  <c r="Q39" i="18"/>
  <c r="Q33" i="18"/>
  <c r="K2" i="2"/>
  <c r="T3" i="18"/>
  <c r="M83" i="18"/>
  <c r="M88" i="18"/>
  <c r="M80" i="18"/>
  <c r="AR24" i="11"/>
  <c r="AN25" i="11"/>
  <c r="R40" i="18"/>
  <c r="T65" i="18"/>
  <c r="T21" i="18"/>
  <c r="R39" i="18"/>
  <c r="Q70" i="18"/>
  <c r="S65" i="18"/>
  <c r="S70" i="18"/>
  <c r="S45" i="18"/>
  <c r="S39" i="18"/>
  <c r="S33" i="18"/>
  <c r="U3" i="18"/>
  <c r="U78" i="18"/>
  <c r="Q47" i="18"/>
  <c r="Q55" i="18"/>
  <c r="Q66" i="18"/>
  <c r="Q63" i="18"/>
  <c r="Q75" i="18"/>
  <c r="L2" i="2"/>
  <c r="V78" i="18"/>
  <c r="M87" i="18"/>
  <c r="AR25" i="11"/>
  <c r="AN26" i="11"/>
  <c r="AN27" i="11"/>
  <c r="AN28" i="11"/>
  <c r="AN29" i="11"/>
  <c r="AN30" i="11"/>
  <c r="AN31" i="11"/>
  <c r="AN32" i="11"/>
  <c r="AN33" i="11"/>
  <c r="AN34" i="11"/>
  <c r="AN35" i="11"/>
  <c r="AN36" i="11"/>
  <c r="AN37" i="11"/>
  <c r="AN38" i="11"/>
  <c r="AN39" i="11"/>
  <c r="AN40" i="11"/>
  <c r="AN41" i="11"/>
  <c r="AN42" i="11"/>
  <c r="AN43" i="11"/>
  <c r="AN44" i="11"/>
  <c r="AN45" i="11"/>
  <c r="AN46" i="11"/>
  <c r="AN47" i="11"/>
  <c r="AN48" i="11"/>
  <c r="AN49" i="11"/>
  <c r="AN50" i="11"/>
  <c r="AN51" i="11"/>
  <c r="AN52" i="11"/>
  <c r="AN53" i="11"/>
  <c r="AN54" i="11"/>
  <c r="AN55" i="11"/>
  <c r="AN56" i="11"/>
  <c r="AN57" i="11"/>
  <c r="AN58" i="11"/>
  <c r="AN59" i="11"/>
  <c r="AN60" i="11"/>
  <c r="AN61" i="11"/>
  <c r="AN62" i="11"/>
  <c r="AN63" i="11"/>
  <c r="AN64" i="11"/>
  <c r="AN65" i="11"/>
  <c r="AN66" i="11"/>
  <c r="AN67" i="11"/>
  <c r="AN68" i="11"/>
  <c r="AN69" i="11"/>
  <c r="AN70" i="11"/>
  <c r="AN71" i="11"/>
  <c r="AN72" i="11"/>
  <c r="AN73" i="11"/>
  <c r="AN74" i="11"/>
  <c r="AN75" i="11"/>
  <c r="AN76" i="11"/>
  <c r="AN77" i="11"/>
  <c r="AN78" i="11"/>
  <c r="AN79" i="11"/>
  <c r="AN80" i="11"/>
  <c r="AN81" i="11"/>
  <c r="AN82" i="11"/>
  <c r="AN83" i="11"/>
  <c r="AN84" i="11"/>
  <c r="AN85" i="11"/>
  <c r="AN86" i="11"/>
  <c r="AN87" i="11"/>
  <c r="AN88" i="11"/>
  <c r="AN89" i="11"/>
  <c r="AN90" i="11"/>
  <c r="AN91" i="11"/>
  <c r="AN92" i="11"/>
  <c r="AN93" i="11"/>
  <c r="AN94" i="11"/>
  <c r="AN95" i="11"/>
  <c r="AN96" i="11"/>
  <c r="AN97" i="11"/>
  <c r="AN98" i="11"/>
  <c r="AN99" i="11"/>
  <c r="AN100" i="11"/>
  <c r="AN101" i="11"/>
  <c r="AN102" i="11"/>
  <c r="AN103" i="11"/>
  <c r="AN104" i="11"/>
  <c r="AN105" i="11"/>
  <c r="AN106" i="11"/>
  <c r="AN107" i="11"/>
  <c r="AN108" i="11"/>
  <c r="AN109" i="11"/>
  <c r="AN110" i="11"/>
  <c r="AN111" i="11"/>
  <c r="AN112" i="11"/>
  <c r="AN113" i="11"/>
  <c r="AN114" i="11"/>
  <c r="AN115" i="11"/>
  <c r="AN116" i="11"/>
  <c r="AN117" i="11"/>
  <c r="AN118" i="11"/>
  <c r="AN119" i="11"/>
  <c r="AN120" i="11"/>
  <c r="AN121" i="11"/>
  <c r="AN122" i="11"/>
  <c r="AN123" i="11"/>
  <c r="AN124" i="11"/>
  <c r="AN125" i="11"/>
  <c r="AN126" i="11"/>
  <c r="AN127" i="11"/>
  <c r="AN128" i="11"/>
  <c r="AN129" i="11"/>
  <c r="AN130" i="11"/>
  <c r="AN131" i="11"/>
  <c r="AN132" i="11"/>
  <c r="AN133" i="11"/>
  <c r="AN134" i="11"/>
  <c r="AN135" i="11"/>
  <c r="AN136" i="11"/>
  <c r="AN137" i="11"/>
  <c r="AN138" i="11"/>
  <c r="AN139" i="11"/>
  <c r="AN140" i="11"/>
  <c r="AN141" i="11"/>
  <c r="AN142" i="11"/>
  <c r="AN143" i="11"/>
  <c r="AN144" i="11"/>
  <c r="AN145" i="11"/>
  <c r="AN146" i="11"/>
  <c r="AN147" i="11"/>
  <c r="AN148" i="11"/>
  <c r="AN149" i="11"/>
  <c r="AN150" i="11"/>
  <c r="AN151" i="11"/>
  <c r="AN152" i="11"/>
  <c r="AN153" i="11"/>
  <c r="AN154" i="11"/>
  <c r="AN155" i="11"/>
  <c r="AN156" i="11"/>
  <c r="AN157" i="11"/>
  <c r="AN158" i="11"/>
  <c r="AN159" i="11"/>
  <c r="AN160" i="11"/>
  <c r="AN161" i="11"/>
  <c r="AN162" i="11"/>
  <c r="AN163" i="11"/>
  <c r="AN164" i="11"/>
  <c r="AN165" i="11"/>
  <c r="AN166" i="11"/>
  <c r="AN167" i="11"/>
  <c r="AN168" i="11"/>
  <c r="AN169" i="11"/>
  <c r="AN170" i="11"/>
  <c r="AN171" i="11"/>
  <c r="AN172" i="11"/>
  <c r="AN173" i="11"/>
  <c r="AN174" i="11"/>
  <c r="AN175" i="11"/>
  <c r="AN176" i="11"/>
  <c r="AN177" i="11"/>
  <c r="AN178" i="11"/>
  <c r="AN179" i="11"/>
  <c r="AN180" i="11"/>
  <c r="AN181" i="11"/>
  <c r="AN182" i="11"/>
  <c r="AN183" i="11"/>
  <c r="AN184" i="11"/>
  <c r="AN185" i="11"/>
  <c r="AN186" i="11"/>
  <c r="AN187" i="11"/>
  <c r="AN188" i="11"/>
  <c r="AN189" i="11"/>
  <c r="AN190" i="11"/>
  <c r="AN191" i="11"/>
  <c r="AN192" i="11"/>
  <c r="AN193" i="11"/>
  <c r="AN194" i="11"/>
  <c r="AN195" i="11"/>
  <c r="AN196" i="11"/>
  <c r="AN197" i="11"/>
  <c r="AN198" i="11"/>
  <c r="AN199" i="11"/>
  <c r="AN200" i="11"/>
  <c r="AN201" i="11"/>
  <c r="AN202" i="11"/>
  <c r="AN203" i="11"/>
  <c r="AN204" i="11"/>
  <c r="AN205" i="11"/>
  <c r="AN206" i="11"/>
  <c r="AN207" i="11"/>
  <c r="AN208" i="11"/>
  <c r="AN209" i="11"/>
  <c r="AN210" i="11"/>
  <c r="AN211" i="11"/>
  <c r="AN212" i="11"/>
  <c r="AN213" i="11"/>
  <c r="AN214" i="11"/>
  <c r="AN215" i="11"/>
  <c r="AN216" i="11"/>
  <c r="AN217" i="11"/>
  <c r="AN218" i="11"/>
  <c r="AN219" i="11"/>
  <c r="AN220" i="11"/>
  <c r="AN221" i="11"/>
  <c r="AN222" i="11"/>
  <c r="AN223" i="11"/>
  <c r="AN224" i="11"/>
  <c r="AN225" i="11"/>
  <c r="AN226" i="11"/>
  <c r="AN227" i="11"/>
  <c r="AN228" i="11"/>
  <c r="AN229" i="11"/>
  <c r="AN230" i="11"/>
  <c r="AN231" i="11"/>
  <c r="AN232" i="11"/>
  <c r="AN233" i="11"/>
  <c r="AN234" i="11"/>
  <c r="AN235" i="11"/>
  <c r="AN236" i="11"/>
  <c r="AN237" i="11"/>
  <c r="AN238" i="11"/>
  <c r="AN239" i="11"/>
  <c r="AN240" i="11"/>
  <c r="AN241" i="11"/>
  <c r="AN242" i="11"/>
  <c r="AN243" i="11"/>
  <c r="AN244" i="11"/>
  <c r="AN245" i="11"/>
  <c r="AN246" i="11"/>
  <c r="AN247" i="11"/>
  <c r="AN248" i="11"/>
  <c r="AN249" i="11"/>
  <c r="AN250" i="11"/>
  <c r="AN251" i="11"/>
  <c r="AN252" i="11"/>
  <c r="AN253" i="11"/>
  <c r="AN254" i="11"/>
  <c r="AN255" i="11"/>
  <c r="AN256" i="11"/>
  <c r="AN257" i="11"/>
  <c r="Q79" i="18"/>
  <c r="Q84" i="18"/>
  <c r="V65" i="18"/>
  <c r="V21" i="18"/>
  <c r="T39" i="18"/>
  <c r="T40" i="18"/>
  <c r="S69" i="18"/>
  <c r="U65" i="18"/>
  <c r="Q62" i="18"/>
  <c r="Q74" i="18"/>
  <c r="U45" i="18"/>
  <c r="U39" i="18"/>
  <c r="U33" i="18"/>
  <c r="S47" i="18"/>
  <c r="S55" i="18"/>
  <c r="S66" i="18"/>
  <c r="S63" i="18"/>
  <c r="S75" i="18"/>
  <c r="W3" i="18"/>
  <c r="W78" i="18"/>
  <c r="X78" i="18"/>
  <c r="Q83" i="18"/>
  <c r="Q87" i="18"/>
  <c r="Q80" i="18"/>
  <c r="AR26" i="11"/>
  <c r="AR27" i="11"/>
  <c r="AR28" i="11"/>
  <c r="AR29" i="11"/>
  <c r="AR30" i="11"/>
  <c r="AR31" i="11"/>
  <c r="AR32" i="11"/>
  <c r="AR33" i="11"/>
  <c r="AR34" i="11"/>
  <c r="AR35" i="11"/>
  <c r="AR36" i="11"/>
  <c r="AR37" i="11"/>
  <c r="AR38" i="11"/>
  <c r="AR39" i="11"/>
  <c r="AR40" i="11"/>
  <c r="AR41" i="11"/>
  <c r="AR42" i="11"/>
  <c r="AR43" i="11"/>
  <c r="AR44" i="11"/>
  <c r="AR45" i="11"/>
  <c r="AR46" i="11"/>
  <c r="AR47" i="11"/>
  <c r="AR48" i="11"/>
  <c r="AR49" i="11"/>
  <c r="AR50" i="11"/>
  <c r="AR51" i="11"/>
  <c r="AR52" i="11"/>
  <c r="AR53" i="11"/>
  <c r="AR54" i="11"/>
  <c r="AR55" i="11"/>
  <c r="AR56" i="11"/>
  <c r="AR57" i="11"/>
  <c r="AR58" i="11"/>
  <c r="AR59" i="11"/>
  <c r="AR60" i="11"/>
  <c r="AR61" i="11"/>
  <c r="AR62" i="11"/>
  <c r="AR63" i="11"/>
  <c r="AR64" i="11"/>
  <c r="AR65" i="11"/>
  <c r="AR66" i="11"/>
  <c r="AR67" i="11"/>
  <c r="AR68" i="11"/>
  <c r="AR69" i="11"/>
  <c r="AR70" i="11"/>
  <c r="AR71" i="11"/>
  <c r="AR72" i="11"/>
  <c r="AR73" i="11"/>
  <c r="AR74" i="11"/>
  <c r="AR75" i="11"/>
  <c r="AR76" i="11"/>
  <c r="AR77" i="11"/>
  <c r="AR78" i="11"/>
  <c r="AR79" i="11"/>
  <c r="AR80" i="11"/>
  <c r="AR81" i="11"/>
  <c r="AR82" i="11"/>
  <c r="AR83" i="11"/>
  <c r="AR84" i="11"/>
  <c r="AR85" i="11"/>
  <c r="AR86" i="11"/>
  <c r="AR87" i="11"/>
  <c r="AR88" i="11"/>
  <c r="AR89" i="11"/>
  <c r="AR90" i="11"/>
  <c r="AR91" i="11"/>
  <c r="AR92" i="11"/>
  <c r="AR93" i="11"/>
  <c r="AR94" i="11"/>
  <c r="AR95" i="11"/>
  <c r="AR96" i="11"/>
  <c r="AR97" i="11"/>
  <c r="AR98" i="11"/>
  <c r="AR99" i="11"/>
  <c r="AR100" i="11"/>
  <c r="AR101" i="11"/>
  <c r="AR102" i="11"/>
  <c r="AR103" i="11"/>
  <c r="AR104" i="11"/>
  <c r="AR105" i="11"/>
  <c r="AR106" i="11"/>
  <c r="AR107" i="11"/>
  <c r="AR108" i="11"/>
  <c r="AR109" i="11"/>
  <c r="AR110" i="11"/>
  <c r="AR111" i="11"/>
  <c r="AR112" i="11"/>
  <c r="AR113" i="11"/>
  <c r="AR114" i="11"/>
  <c r="AR115" i="11"/>
  <c r="AR116" i="11"/>
  <c r="AR117" i="11"/>
  <c r="AR118" i="11"/>
  <c r="AR119" i="11"/>
  <c r="AR120" i="11"/>
  <c r="AR121" i="11"/>
  <c r="AR122" i="11"/>
  <c r="AR123" i="11"/>
  <c r="AR124" i="11"/>
  <c r="AR125" i="11"/>
  <c r="AR126" i="11"/>
  <c r="AR127" i="11"/>
  <c r="AR128" i="11"/>
  <c r="AR129" i="11"/>
  <c r="AR130" i="11"/>
  <c r="AR131" i="11"/>
  <c r="AR132" i="11"/>
  <c r="AR133" i="11"/>
  <c r="AR134" i="11"/>
  <c r="AR135" i="11"/>
  <c r="AR136" i="11"/>
  <c r="AR137" i="11"/>
  <c r="AR138" i="11"/>
  <c r="AR139" i="11"/>
  <c r="AR140" i="11"/>
  <c r="AR141" i="11"/>
  <c r="AR142" i="11"/>
  <c r="AR143" i="11"/>
  <c r="AR144" i="11"/>
  <c r="AR145" i="11"/>
  <c r="AR146" i="11"/>
  <c r="AR147" i="11"/>
  <c r="AR148" i="11"/>
  <c r="AR149" i="11"/>
  <c r="AR150" i="11"/>
  <c r="AR151" i="11"/>
  <c r="AR152" i="11"/>
  <c r="AR153" i="11"/>
  <c r="AR154" i="11"/>
  <c r="AR155" i="11"/>
  <c r="AR156" i="11"/>
  <c r="AR157" i="11"/>
  <c r="AR158" i="11"/>
  <c r="AR159" i="11"/>
  <c r="AR160" i="11"/>
  <c r="AR161" i="11"/>
  <c r="AR162" i="11"/>
  <c r="AR163" i="11"/>
  <c r="AR164" i="11"/>
  <c r="AR165" i="11"/>
  <c r="AR166" i="11"/>
  <c r="AR167" i="11"/>
  <c r="AR168" i="11"/>
  <c r="AR169" i="11"/>
  <c r="AR170" i="11"/>
  <c r="AR171" i="11"/>
  <c r="AR172" i="11"/>
  <c r="AR173" i="11"/>
  <c r="AR174" i="11"/>
  <c r="AR175" i="11"/>
  <c r="AR176" i="11"/>
  <c r="AR177" i="11"/>
  <c r="AR178" i="11"/>
  <c r="AR179" i="11"/>
  <c r="AR180" i="11"/>
  <c r="AR181" i="11"/>
  <c r="AR182" i="11"/>
  <c r="AR183" i="11"/>
  <c r="AR184" i="11"/>
  <c r="AR185" i="11"/>
  <c r="AR186" i="11"/>
  <c r="AR187" i="11"/>
  <c r="AR188" i="11"/>
  <c r="AR189" i="11"/>
  <c r="AR190" i="11"/>
  <c r="AR191" i="11"/>
  <c r="AR192" i="11"/>
  <c r="AR193" i="11"/>
  <c r="AR194" i="11"/>
  <c r="AR195" i="11"/>
  <c r="AR196" i="11"/>
  <c r="AR197" i="11"/>
  <c r="AR198" i="11"/>
  <c r="AR199" i="11"/>
  <c r="AR200" i="11"/>
  <c r="AR201" i="11"/>
  <c r="AR202" i="11"/>
  <c r="AR203" i="11"/>
  <c r="AR204" i="11"/>
  <c r="AR205" i="11"/>
  <c r="AR206" i="11"/>
  <c r="AR207" i="11"/>
  <c r="AR208" i="11"/>
  <c r="AR209" i="11"/>
  <c r="AR210" i="11"/>
  <c r="AR211" i="11"/>
  <c r="AR212" i="11"/>
  <c r="AR213" i="11"/>
  <c r="AR214" i="11"/>
  <c r="AR215" i="11"/>
  <c r="AR216" i="11"/>
  <c r="AR217" i="11"/>
  <c r="AR218" i="11"/>
  <c r="AR219" i="11"/>
  <c r="AR220" i="11"/>
  <c r="AR221" i="11"/>
  <c r="AR222" i="11"/>
  <c r="AR223" i="11"/>
  <c r="AR224" i="11"/>
  <c r="AR225" i="11"/>
  <c r="AR226" i="11"/>
  <c r="AR227" i="11"/>
  <c r="AR228" i="11"/>
  <c r="AR229" i="11"/>
  <c r="AR230" i="11"/>
  <c r="AR231" i="11"/>
  <c r="AR232" i="11"/>
  <c r="AR233" i="11"/>
  <c r="AR234" i="11"/>
  <c r="AR235" i="11"/>
  <c r="AR236" i="11"/>
  <c r="AR237" i="11"/>
  <c r="AR238" i="11"/>
  <c r="AR239" i="11"/>
  <c r="AR240" i="11"/>
  <c r="AR241" i="11"/>
  <c r="AR242" i="11"/>
  <c r="AR243" i="11"/>
  <c r="AR244" i="11"/>
  <c r="AR245" i="11"/>
  <c r="AR246" i="11"/>
  <c r="AR247" i="11"/>
  <c r="AR248" i="11"/>
  <c r="AR249" i="11"/>
  <c r="AR250" i="11"/>
  <c r="AR251" i="11"/>
  <c r="AR252" i="11"/>
  <c r="AR253" i="11"/>
  <c r="AR254" i="11"/>
  <c r="AR255" i="11"/>
  <c r="AR256" i="11"/>
  <c r="AR257" i="11"/>
  <c r="AR258" i="11"/>
  <c r="AR259" i="11"/>
  <c r="AR260" i="11"/>
  <c r="AR261" i="11"/>
  <c r="AR262" i="11"/>
  <c r="AR263" i="11"/>
  <c r="AR264" i="11"/>
  <c r="AR265" i="11"/>
  <c r="AR266" i="11"/>
  <c r="AR267" i="11"/>
  <c r="AR268" i="11"/>
  <c r="AR269" i="11"/>
  <c r="AR270" i="11"/>
  <c r="AR271" i="11"/>
  <c r="AR272" i="11"/>
  <c r="AR273" i="11"/>
  <c r="AR274" i="11"/>
  <c r="AR275" i="11"/>
  <c r="AR276" i="11"/>
  <c r="AR277" i="11"/>
  <c r="AR278" i="11"/>
  <c r="AR279" i="11"/>
  <c r="AR280" i="11"/>
  <c r="AR281" i="11"/>
  <c r="AR282" i="11"/>
  <c r="AR283" i="11"/>
  <c r="AR284" i="11"/>
  <c r="AR285" i="11"/>
  <c r="AR286" i="11"/>
  <c r="AR287" i="11"/>
  <c r="AR288" i="11"/>
  <c r="AR289" i="11"/>
  <c r="AR290" i="11"/>
  <c r="AR291" i="11"/>
  <c r="AR292" i="11"/>
  <c r="AR293" i="11"/>
  <c r="AR294" i="11"/>
  <c r="AR295" i="11"/>
  <c r="AR296" i="11"/>
  <c r="AR297" i="11"/>
  <c r="AR298" i="11"/>
  <c r="AR299" i="11"/>
  <c r="AR300" i="11"/>
  <c r="AR301" i="11"/>
  <c r="AR302" i="11"/>
  <c r="AR303" i="11"/>
  <c r="AR304" i="11"/>
  <c r="AR305" i="11"/>
  <c r="AR306" i="11"/>
  <c r="AR307" i="11"/>
  <c r="AR308" i="11"/>
  <c r="AR309" i="11"/>
  <c r="AR310" i="11"/>
  <c r="AR311" i="11"/>
  <c r="AR312" i="11"/>
  <c r="AR313" i="11"/>
  <c r="AR314" i="11"/>
  <c r="AR315" i="11"/>
  <c r="AR316" i="11"/>
  <c r="AR317" i="11"/>
  <c r="AR318" i="11"/>
  <c r="AR319" i="11"/>
  <c r="AR320" i="11"/>
  <c r="AR321" i="11"/>
  <c r="AR322" i="11"/>
  <c r="AR323" i="11"/>
  <c r="AR324" i="11"/>
  <c r="AR325" i="11"/>
  <c r="AR326" i="11"/>
  <c r="AR327" i="11"/>
  <c r="AR328" i="11"/>
  <c r="AR329" i="11"/>
  <c r="AR330" i="11"/>
  <c r="AR331" i="11"/>
  <c r="AR332" i="11"/>
  <c r="AR333" i="11"/>
  <c r="AR334" i="11"/>
  <c r="AR335" i="11"/>
  <c r="AR336" i="11"/>
  <c r="AR337" i="11"/>
  <c r="AR338" i="11"/>
  <c r="AR339" i="11"/>
  <c r="AR340" i="11"/>
  <c r="AR341" i="11"/>
  <c r="AR342" i="11"/>
  <c r="AR343" i="11"/>
  <c r="AR344" i="11"/>
  <c r="AR345" i="11"/>
  <c r="AR346" i="11"/>
  <c r="AR347" i="11"/>
  <c r="AR348" i="11"/>
  <c r="AR349" i="11"/>
  <c r="AR350" i="11"/>
  <c r="AR351" i="11"/>
  <c r="AR352" i="11"/>
  <c r="AR353" i="11"/>
  <c r="AR354" i="11"/>
  <c r="AR355" i="11"/>
  <c r="AR356" i="11"/>
  <c r="AR357" i="11"/>
  <c r="AR358" i="11"/>
  <c r="AR359" i="11"/>
  <c r="AR360" i="11"/>
  <c r="AR361" i="11"/>
  <c r="AR362" i="11"/>
  <c r="AR363" i="11"/>
  <c r="AR364" i="11"/>
  <c r="AR365" i="11"/>
  <c r="AR366" i="11"/>
  <c r="AR367" i="11"/>
  <c r="AR368" i="11"/>
  <c r="AR369" i="11"/>
  <c r="AR370" i="11"/>
  <c r="AR371" i="11"/>
  <c r="AR372" i="11"/>
  <c r="AR373" i="11"/>
  <c r="AR374" i="11"/>
  <c r="AR375" i="11"/>
  <c r="AR376" i="11"/>
  <c r="AR377" i="11"/>
  <c r="AR378" i="11"/>
  <c r="AR379" i="11"/>
  <c r="AR380" i="11"/>
  <c r="AR381" i="11"/>
  <c r="AR382" i="11"/>
  <c r="AR383" i="11"/>
  <c r="AR384" i="11"/>
  <c r="AR385" i="11"/>
  <c r="AR386" i="11"/>
  <c r="AR387" i="11"/>
  <c r="AR388" i="11"/>
  <c r="AR389" i="11"/>
  <c r="AR390" i="11"/>
  <c r="AR391" i="11"/>
  <c r="AR392" i="11"/>
  <c r="AR393" i="11"/>
  <c r="AR394" i="11"/>
  <c r="AR395" i="11"/>
  <c r="AR396" i="11"/>
  <c r="AR397" i="11"/>
  <c r="AR398" i="11"/>
  <c r="AR399" i="11"/>
  <c r="AR400" i="11"/>
  <c r="AR401" i="11"/>
  <c r="AR402" i="11"/>
  <c r="AR403" i="11"/>
  <c r="AR404" i="11"/>
  <c r="AR405" i="11"/>
  <c r="AR406" i="11"/>
  <c r="AR407" i="11"/>
  <c r="AR408" i="11"/>
  <c r="AR409" i="11"/>
  <c r="AR410" i="11"/>
  <c r="AR411" i="11"/>
  <c r="AR412" i="11"/>
  <c r="AR413" i="11"/>
  <c r="AR414" i="11"/>
  <c r="AR415" i="11"/>
  <c r="AR416" i="11"/>
  <c r="AR417" i="11"/>
  <c r="AR418" i="11"/>
  <c r="AR419" i="11"/>
  <c r="AR420" i="11"/>
  <c r="AR421" i="11"/>
  <c r="AR422" i="11"/>
  <c r="AR423" i="11"/>
  <c r="AR424" i="11"/>
  <c r="AR425" i="11"/>
  <c r="AR426" i="11"/>
  <c r="AR427" i="11"/>
  <c r="AR428" i="11"/>
  <c r="AR429" i="11"/>
  <c r="AR430" i="11"/>
  <c r="AR431" i="11"/>
  <c r="AR432" i="11"/>
  <c r="AR433" i="11"/>
  <c r="AR434" i="11"/>
  <c r="AR435" i="11"/>
  <c r="AR436" i="11"/>
  <c r="AR437" i="11"/>
  <c r="AR438" i="11"/>
  <c r="AR439" i="11"/>
  <c r="AR440" i="11"/>
  <c r="AR441" i="11"/>
  <c r="AR442" i="11"/>
  <c r="AR443" i="11"/>
  <c r="AR444" i="11"/>
  <c r="AR445" i="11"/>
  <c r="AR446" i="11"/>
  <c r="AR447" i="11"/>
  <c r="AR448" i="11"/>
  <c r="AR449" i="11"/>
  <c r="AR450" i="11"/>
  <c r="AR451" i="11"/>
  <c r="AR452" i="11"/>
  <c r="AR453" i="11"/>
  <c r="AR454" i="11"/>
  <c r="AR455" i="11"/>
  <c r="AR456" i="11"/>
  <c r="AR457" i="11"/>
  <c r="AR458" i="11"/>
  <c r="AR459" i="11"/>
  <c r="AR460" i="11"/>
  <c r="AR461" i="11"/>
  <c r="AR462" i="11"/>
  <c r="AR463" i="11"/>
  <c r="AR464" i="11"/>
  <c r="AR465" i="11"/>
  <c r="AR466" i="11"/>
  <c r="AR467" i="11"/>
  <c r="AR468" i="11"/>
  <c r="AR469" i="11"/>
  <c r="AR470" i="11"/>
  <c r="AR471" i="11"/>
  <c r="AR472" i="11"/>
  <c r="AR473" i="11"/>
  <c r="AR474" i="11"/>
  <c r="AR475" i="11"/>
  <c r="AR476" i="11"/>
  <c r="AR477" i="11"/>
  <c r="AR478" i="11"/>
  <c r="AR479" i="11"/>
  <c r="AR480" i="11"/>
  <c r="AR481" i="11"/>
  <c r="AR482" i="11"/>
  <c r="AR483" i="11"/>
  <c r="AR484" i="11"/>
  <c r="AR485" i="11"/>
  <c r="AR486" i="11"/>
  <c r="AR487" i="11"/>
  <c r="AR488" i="11"/>
  <c r="AR489" i="11"/>
  <c r="AR490" i="11"/>
  <c r="AR491" i="11"/>
  <c r="AR492" i="11"/>
  <c r="AR493" i="11"/>
  <c r="AR494" i="11"/>
  <c r="AR495" i="11"/>
  <c r="AR496" i="11"/>
  <c r="AR497" i="11"/>
  <c r="AN258" i="11"/>
  <c r="AN259" i="11"/>
  <c r="AN260" i="11"/>
  <c r="AN261" i="11"/>
  <c r="AN262" i="11"/>
  <c r="AN263" i="11"/>
  <c r="AN264" i="11"/>
  <c r="AN265" i="11"/>
  <c r="AN266" i="11"/>
  <c r="AN267" i="11"/>
  <c r="AN268" i="11"/>
  <c r="AN269" i="11"/>
  <c r="AN270" i="11"/>
  <c r="AN271" i="11"/>
  <c r="AN272" i="11"/>
  <c r="AN273" i="11"/>
  <c r="AN274" i="11"/>
  <c r="AN275" i="11"/>
  <c r="AN276" i="11"/>
  <c r="AN277" i="11"/>
  <c r="AN278" i="11"/>
  <c r="AN279" i="11"/>
  <c r="AN280" i="11"/>
  <c r="AN281" i="11"/>
  <c r="AN282" i="11"/>
  <c r="AN283" i="11"/>
  <c r="AN284" i="11"/>
  <c r="AN285" i="11"/>
  <c r="AN286" i="11"/>
  <c r="AN287" i="11"/>
  <c r="AN288" i="11"/>
  <c r="AN289" i="11"/>
  <c r="AN290" i="11"/>
  <c r="AN291" i="11"/>
  <c r="AN292" i="11"/>
  <c r="AN293" i="11"/>
  <c r="AN294" i="11"/>
  <c r="AN295" i="11"/>
  <c r="AN296" i="11"/>
  <c r="AN297" i="11"/>
  <c r="AN298" i="11"/>
  <c r="AN299" i="11"/>
  <c r="AN300" i="11"/>
  <c r="AN301" i="11"/>
  <c r="AN302" i="11"/>
  <c r="AN303" i="11"/>
  <c r="AN304" i="11"/>
  <c r="AN305" i="11"/>
  <c r="AN306" i="11"/>
  <c r="AN307" i="11"/>
  <c r="AN308" i="11"/>
  <c r="AN309" i="11"/>
  <c r="AN310" i="11"/>
  <c r="AN311" i="11"/>
  <c r="AN312" i="11"/>
  <c r="AN313" i="11"/>
  <c r="AN314" i="11"/>
  <c r="AN315" i="11"/>
  <c r="AN316" i="11"/>
  <c r="AN317" i="11"/>
  <c r="AN318" i="11"/>
  <c r="AN319" i="11"/>
  <c r="AN320" i="11"/>
  <c r="AN321" i="11"/>
  <c r="AN322" i="11"/>
  <c r="AN323" i="11"/>
  <c r="AN324" i="11"/>
  <c r="AN325" i="11"/>
  <c r="AN326" i="11"/>
  <c r="AN327" i="11"/>
  <c r="AN328" i="11"/>
  <c r="AN329" i="11"/>
  <c r="AN330" i="11"/>
  <c r="AN331" i="11"/>
  <c r="AN332" i="11"/>
  <c r="AN333" i="11"/>
  <c r="AN334" i="11"/>
  <c r="AN335" i="11"/>
  <c r="AN336" i="11"/>
  <c r="AN337" i="11"/>
  <c r="AN338" i="11"/>
  <c r="AN339" i="11"/>
  <c r="AN340" i="11"/>
  <c r="AN341" i="11"/>
  <c r="AN342" i="11"/>
  <c r="AN343" i="11"/>
  <c r="AN344" i="11"/>
  <c r="AN345" i="11"/>
  <c r="AN346" i="11"/>
  <c r="AN347" i="11"/>
  <c r="AN348" i="11"/>
  <c r="AN349" i="11"/>
  <c r="AN350" i="11"/>
  <c r="AN351" i="11"/>
  <c r="AN352" i="11"/>
  <c r="AN353" i="11"/>
  <c r="AN354" i="11"/>
  <c r="AN355" i="11"/>
  <c r="AN356" i="11"/>
  <c r="AN357" i="11"/>
  <c r="AN358" i="11"/>
  <c r="AN359" i="11"/>
  <c r="AN360" i="11"/>
  <c r="AN361" i="11"/>
  <c r="AN362" i="11"/>
  <c r="AN363" i="11"/>
  <c r="AN364" i="11"/>
  <c r="AN365" i="11"/>
  <c r="AN366" i="11"/>
  <c r="AN367" i="11"/>
  <c r="AN368" i="11"/>
  <c r="AN369" i="11"/>
  <c r="AN370" i="11"/>
  <c r="AN371" i="11"/>
  <c r="AN372" i="11"/>
  <c r="AN373" i="11"/>
  <c r="AN374" i="11"/>
  <c r="AN375" i="11"/>
  <c r="AN376" i="11"/>
  <c r="AN377" i="11"/>
  <c r="AN378" i="11"/>
  <c r="AN379" i="11"/>
  <c r="AN380" i="11"/>
  <c r="AN381" i="11"/>
  <c r="AN382" i="11"/>
  <c r="AN383" i="11"/>
  <c r="AN384" i="11"/>
  <c r="AN385" i="11"/>
  <c r="AN386" i="11"/>
  <c r="AN387" i="11"/>
  <c r="AN388" i="11"/>
  <c r="AN389" i="11"/>
  <c r="AN390" i="11"/>
  <c r="AN391" i="11"/>
  <c r="AN392" i="11"/>
  <c r="AN393" i="11"/>
  <c r="AN394" i="11"/>
  <c r="AN395" i="11"/>
  <c r="AN396" i="11"/>
  <c r="AN397" i="11"/>
  <c r="AN398" i="11"/>
  <c r="AN399" i="11"/>
  <c r="AN400" i="11"/>
  <c r="AN401" i="11"/>
  <c r="AN402" i="11"/>
  <c r="AN403" i="11"/>
  <c r="AN404" i="11"/>
  <c r="AN405" i="11"/>
  <c r="AN406" i="11"/>
  <c r="AN407" i="11"/>
  <c r="AN408" i="11"/>
  <c r="AN409" i="11"/>
  <c r="AN410" i="11"/>
  <c r="AN411" i="11"/>
  <c r="AN412" i="11"/>
  <c r="AN413" i="11"/>
  <c r="AN414" i="11"/>
  <c r="AN415" i="11"/>
  <c r="AN416" i="11"/>
  <c r="AN417" i="11"/>
  <c r="AN418" i="11"/>
  <c r="AN419" i="11"/>
  <c r="AN420" i="11"/>
  <c r="AN421" i="11"/>
  <c r="AN422" i="11"/>
  <c r="AN423" i="11"/>
  <c r="AN424" i="11"/>
  <c r="AN425" i="11"/>
  <c r="AN426" i="11"/>
  <c r="AN427" i="11"/>
  <c r="AN428" i="11"/>
  <c r="AN429" i="11"/>
  <c r="AN430" i="11"/>
  <c r="AN431" i="11"/>
  <c r="AN432" i="11"/>
  <c r="AN433" i="11"/>
  <c r="AN434" i="11"/>
  <c r="AN435" i="11"/>
  <c r="AN436" i="11"/>
  <c r="AN437" i="11"/>
  <c r="AN438" i="11"/>
  <c r="AN439" i="11"/>
  <c r="AN440" i="11"/>
  <c r="AN441" i="11"/>
  <c r="AN442" i="11"/>
  <c r="AN443" i="11"/>
  <c r="AN444" i="11"/>
  <c r="AN445" i="11"/>
  <c r="AN446" i="11"/>
  <c r="AN447" i="11"/>
  <c r="AN448" i="11"/>
  <c r="AN449" i="11"/>
  <c r="AN450" i="11"/>
  <c r="AN451" i="11"/>
  <c r="AN452" i="11"/>
  <c r="AN453" i="11"/>
  <c r="AN454" i="11"/>
  <c r="AN455" i="11"/>
  <c r="AN456" i="11"/>
  <c r="AN457" i="11"/>
  <c r="AN458" i="11"/>
  <c r="AN459" i="11"/>
  <c r="AN460" i="11"/>
  <c r="AN461" i="11"/>
  <c r="AN462" i="11"/>
  <c r="AN463" i="11"/>
  <c r="AN464" i="11"/>
  <c r="AN465" i="11"/>
  <c r="AN466" i="11"/>
  <c r="AN467" i="11"/>
  <c r="AN468" i="11"/>
  <c r="AN469" i="11"/>
  <c r="AN470" i="11"/>
  <c r="AN471" i="11"/>
  <c r="AN472" i="11"/>
  <c r="AN473" i="11"/>
  <c r="AN474" i="11"/>
  <c r="AN475" i="11"/>
  <c r="AN476" i="11"/>
  <c r="AN477" i="11"/>
  <c r="AN478" i="11"/>
  <c r="AN479" i="11"/>
  <c r="AN480" i="11"/>
  <c r="AN481" i="11"/>
  <c r="AN482" i="11"/>
  <c r="AN483" i="11"/>
  <c r="AN484" i="11"/>
  <c r="AN485" i="11"/>
  <c r="AN486" i="11"/>
  <c r="AN487" i="11"/>
  <c r="AN488" i="11"/>
  <c r="AN489" i="11"/>
  <c r="AN490" i="11"/>
  <c r="AN491" i="11"/>
  <c r="AN492" i="11"/>
  <c r="AN493" i="11"/>
  <c r="AN494" i="11"/>
  <c r="AN495" i="11"/>
  <c r="AN496" i="11"/>
  <c r="AN497" i="11"/>
  <c r="M2" i="2"/>
  <c r="Z78" i="18"/>
  <c r="S79" i="18"/>
  <c r="S84" i="18"/>
  <c r="M93" i="18"/>
  <c r="X65" i="18"/>
  <c r="X21" i="18"/>
  <c r="V39" i="18"/>
  <c r="V40" i="18"/>
  <c r="M92" i="18"/>
  <c r="U70" i="18"/>
  <c r="U69" i="18"/>
  <c r="W65" i="18"/>
  <c r="W69" i="18"/>
  <c r="S62" i="18"/>
  <c r="S74" i="18"/>
  <c r="AK5" i="11"/>
  <c r="W39" i="18"/>
  <c r="W33" i="18"/>
  <c r="W45" i="18"/>
  <c r="U47" i="18"/>
  <c r="U55" i="18"/>
  <c r="U66" i="18"/>
  <c r="U63" i="18"/>
  <c r="U75" i="18"/>
  <c r="Y3" i="18"/>
  <c r="Y78" i="18"/>
  <c r="N4" i="2"/>
  <c r="N2" i="2"/>
  <c r="Q88" i="18"/>
  <c r="S83" i="18"/>
  <c r="S88" i="18"/>
  <c r="S80" i="18"/>
  <c r="AU9" i="11"/>
  <c r="AU10" i="11"/>
  <c r="AU12" i="11"/>
  <c r="AU15" i="11"/>
  <c r="AU11" i="11"/>
  <c r="AU13" i="11"/>
  <c r="AU8" i="11"/>
  <c r="AU6" i="11"/>
  <c r="AU14" i="11"/>
  <c r="AU7" i="11"/>
  <c r="AU5" i="11"/>
  <c r="S87" i="18"/>
  <c r="U79" i="18"/>
  <c r="U84" i="18"/>
  <c r="M97" i="18"/>
  <c r="Z65" i="18"/>
  <c r="Z21" i="18"/>
  <c r="AC21" i="18"/>
  <c r="X39" i="18"/>
  <c r="X40" i="18"/>
  <c r="W70" i="18"/>
  <c r="Y65" i="18"/>
  <c r="AL5" i="11"/>
  <c r="U62" i="18"/>
  <c r="U74" i="18"/>
  <c r="W47" i="18"/>
  <c r="W55" i="18"/>
  <c r="W66" i="18"/>
  <c r="W63" i="18"/>
  <c r="W75" i="18"/>
  <c r="Y33" i="18"/>
  <c r="Y45" i="18"/>
  <c r="Y39" i="18"/>
  <c r="U83" i="18"/>
  <c r="U88" i="18"/>
  <c r="U80" i="18"/>
  <c r="W79" i="18"/>
  <c r="W84" i="18"/>
  <c r="Q93" i="18"/>
  <c r="Z39" i="18"/>
  <c r="Z40" i="18"/>
  <c r="AC40" i="18"/>
  <c r="Y70" i="18"/>
  <c r="Y69" i="18"/>
  <c r="W62" i="18"/>
  <c r="W74" i="18"/>
  <c r="Y47" i="18"/>
  <c r="Y55" i="18"/>
  <c r="Y66" i="18"/>
  <c r="Y63" i="18"/>
  <c r="Y75" i="18"/>
  <c r="U87" i="18"/>
  <c r="W83" i="18"/>
  <c r="W87" i="18"/>
  <c r="W80" i="18"/>
  <c r="Y79" i="18"/>
  <c r="Y84" i="18"/>
  <c r="Q92" i="18"/>
  <c r="S92" i="18"/>
  <c r="Q97" i="18"/>
  <c r="S93" i="18"/>
  <c r="Y62" i="18"/>
  <c r="Y74" i="18"/>
  <c r="AA39" i="18"/>
  <c r="AC39" i="18"/>
  <c r="AA42" i="18"/>
  <c r="W88" i="18"/>
  <c r="Y83" i="18"/>
  <c r="Y87" i="18"/>
  <c r="Y80" i="18"/>
  <c r="U93" i="18"/>
  <c r="S97" i="18"/>
  <c r="AC42" i="18"/>
  <c r="Y88" i="18"/>
  <c r="U92" i="18"/>
  <c r="W93" i="18"/>
  <c r="U97" i="18"/>
  <c r="W92" i="18"/>
  <c r="W97" i="18"/>
  <c r="Y93" i="18"/>
  <c r="Y92" i="18"/>
  <c r="Y97" i="18"/>
  <c r="J51" i="3"/>
  <c r="K51" i="3"/>
  <c r="J8" i="3"/>
  <c r="J14" i="3"/>
  <c r="K14" i="3"/>
  <c r="K8" i="3"/>
  <c r="J44" i="22"/>
  <c r="E97" i="2"/>
  <c r="F97" i="2"/>
  <c r="G97" i="2"/>
  <c r="H97" i="2"/>
  <c r="I97" i="2"/>
  <c r="J97" i="2"/>
  <c r="K97" i="2"/>
  <c r="L97" i="2"/>
  <c r="M97" i="2"/>
  <c r="N97" i="2"/>
  <c r="G49" i="3"/>
  <c r="D96" i="2"/>
  <c r="G48" i="3"/>
  <c r="D95" i="2"/>
  <c r="G47" i="3"/>
  <c r="D94" i="2"/>
  <c r="G46" i="3"/>
  <c r="D93" i="2"/>
  <c r="G45" i="3"/>
  <c r="D92" i="2"/>
  <c r="G44" i="3"/>
  <c r="D91" i="2"/>
  <c r="G42" i="3"/>
  <c r="D89" i="2"/>
  <c r="G41" i="3"/>
  <c r="D88" i="2"/>
  <c r="G39" i="3"/>
  <c r="D86" i="2"/>
  <c r="G38" i="3"/>
  <c r="D85" i="2"/>
  <c r="G37" i="3"/>
  <c r="D84" i="2"/>
  <c r="G36" i="3"/>
  <c r="D83" i="2"/>
  <c r="G35" i="3"/>
  <c r="D82" i="2"/>
  <c r="G34" i="3"/>
  <c r="D81" i="2"/>
  <c r="G33" i="3"/>
  <c r="D80" i="2"/>
  <c r="G32" i="3"/>
  <c r="D79" i="2"/>
  <c r="G26" i="3"/>
  <c r="D73" i="2"/>
  <c r="G25" i="3"/>
  <c r="D72" i="2"/>
  <c r="G24" i="3"/>
  <c r="D71" i="2"/>
  <c r="G23" i="3"/>
  <c r="D70" i="2"/>
  <c r="G21" i="3"/>
  <c r="D68" i="2"/>
  <c r="G20" i="3"/>
  <c r="D67" i="2"/>
  <c r="D90" i="2"/>
  <c r="C18" i="18"/>
  <c r="F18" i="18"/>
  <c r="E91" i="2"/>
  <c r="F91" i="2"/>
  <c r="G91" i="2"/>
  <c r="H91" i="2"/>
  <c r="I91" i="2"/>
  <c r="J91" i="2"/>
  <c r="K91" i="2"/>
  <c r="L91" i="2"/>
  <c r="M91" i="2"/>
  <c r="N91" i="2"/>
  <c r="E92" i="2"/>
  <c r="F92" i="2"/>
  <c r="G92" i="2"/>
  <c r="H92" i="2"/>
  <c r="I92" i="2"/>
  <c r="J92" i="2"/>
  <c r="K92" i="2"/>
  <c r="L92" i="2"/>
  <c r="M92" i="2"/>
  <c r="N92" i="2"/>
  <c r="E93" i="2"/>
  <c r="F93" i="2"/>
  <c r="G93" i="2"/>
  <c r="H93" i="2"/>
  <c r="I93" i="2"/>
  <c r="J93" i="2"/>
  <c r="K93" i="2"/>
  <c r="L93" i="2"/>
  <c r="M93" i="2"/>
  <c r="N93" i="2"/>
  <c r="E94" i="2"/>
  <c r="F94" i="2"/>
  <c r="G94" i="2"/>
  <c r="H94" i="2"/>
  <c r="I94" i="2"/>
  <c r="J94" i="2"/>
  <c r="K94" i="2"/>
  <c r="L94" i="2"/>
  <c r="M94" i="2"/>
  <c r="N94" i="2"/>
  <c r="E95" i="2"/>
  <c r="F95" i="2"/>
  <c r="G95" i="2"/>
  <c r="H95" i="2"/>
  <c r="I95" i="2"/>
  <c r="J95" i="2"/>
  <c r="K95" i="2"/>
  <c r="L95" i="2"/>
  <c r="M95" i="2"/>
  <c r="N95" i="2"/>
  <c r="E88" i="2"/>
  <c r="F88" i="2"/>
  <c r="G88" i="2"/>
  <c r="H88" i="2"/>
  <c r="I88" i="2"/>
  <c r="J88" i="2"/>
  <c r="K88" i="2"/>
  <c r="L88" i="2"/>
  <c r="M88" i="2"/>
  <c r="N88" i="2"/>
  <c r="E96" i="2"/>
  <c r="F96" i="2"/>
  <c r="G96" i="2"/>
  <c r="H96" i="2"/>
  <c r="I96" i="2"/>
  <c r="J96" i="2"/>
  <c r="K96" i="2"/>
  <c r="L96" i="2"/>
  <c r="M96" i="2"/>
  <c r="N96" i="2"/>
  <c r="E89" i="2"/>
  <c r="F89" i="2"/>
  <c r="G89" i="2"/>
  <c r="H89" i="2"/>
  <c r="I89" i="2"/>
  <c r="J89" i="2"/>
  <c r="K89" i="2"/>
  <c r="L89" i="2"/>
  <c r="M89" i="2"/>
  <c r="N89" i="2"/>
  <c r="E90" i="2"/>
  <c r="F90" i="2"/>
  <c r="G90" i="2"/>
  <c r="H90" i="2"/>
  <c r="I90" i="2"/>
  <c r="E82" i="2"/>
  <c r="F82" i="2"/>
  <c r="G82" i="2"/>
  <c r="H82" i="2"/>
  <c r="I82" i="2"/>
  <c r="J82" i="2"/>
  <c r="K82" i="2"/>
  <c r="L82" i="2"/>
  <c r="M82" i="2"/>
  <c r="N82" i="2"/>
  <c r="E83" i="2"/>
  <c r="F83" i="2"/>
  <c r="G83" i="2"/>
  <c r="H83" i="2"/>
  <c r="I83" i="2"/>
  <c r="J83" i="2"/>
  <c r="K83" i="2"/>
  <c r="L83" i="2"/>
  <c r="M83" i="2"/>
  <c r="N83" i="2"/>
  <c r="E84" i="2"/>
  <c r="F84" i="2"/>
  <c r="G84" i="2"/>
  <c r="H84" i="2"/>
  <c r="I84" i="2"/>
  <c r="J84" i="2"/>
  <c r="K84" i="2"/>
  <c r="L84" i="2"/>
  <c r="M84" i="2"/>
  <c r="N84" i="2"/>
  <c r="E85" i="2"/>
  <c r="F85" i="2"/>
  <c r="G85" i="2"/>
  <c r="H85" i="2"/>
  <c r="I85" i="2"/>
  <c r="J85" i="2"/>
  <c r="K85" i="2"/>
  <c r="L85" i="2"/>
  <c r="M85" i="2"/>
  <c r="N85" i="2"/>
  <c r="E86" i="2"/>
  <c r="F86" i="2"/>
  <c r="G86" i="2"/>
  <c r="H86" i="2"/>
  <c r="I86" i="2"/>
  <c r="J86" i="2"/>
  <c r="K86" i="2"/>
  <c r="L86" i="2"/>
  <c r="M86" i="2"/>
  <c r="N86" i="2"/>
  <c r="E81" i="2"/>
  <c r="F81" i="2"/>
  <c r="G81" i="2"/>
  <c r="H81" i="2"/>
  <c r="I81" i="2"/>
  <c r="J81" i="2"/>
  <c r="K81" i="2"/>
  <c r="L81" i="2"/>
  <c r="M81" i="2"/>
  <c r="N81" i="2"/>
  <c r="E67" i="2"/>
  <c r="F67" i="2"/>
  <c r="G67" i="2"/>
  <c r="H67" i="2"/>
  <c r="I67" i="2"/>
  <c r="J67" i="2"/>
  <c r="K67" i="2"/>
  <c r="L67" i="2"/>
  <c r="M67" i="2"/>
  <c r="N67" i="2"/>
  <c r="E68" i="2"/>
  <c r="F68" i="2"/>
  <c r="G68" i="2"/>
  <c r="H68" i="2"/>
  <c r="I68" i="2"/>
  <c r="J68" i="2"/>
  <c r="K68" i="2"/>
  <c r="L68" i="2"/>
  <c r="M68" i="2"/>
  <c r="N68" i="2"/>
  <c r="E71" i="2"/>
  <c r="F71" i="2"/>
  <c r="G71" i="2"/>
  <c r="H71" i="2"/>
  <c r="I71" i="2"/>
  <c r="J71" i="2"/>
  <c r="K71" i="2"/>
  <c r="L71" i="2"/>
  <c r="M71" i="2"/>
  <c r="N71" i="2"/>
  <c r="E72" i="2"/>
  <c r="F72" i="2"/>
  <c r="G72" i="2"/>
  <c r="H72" i="2"/>
  <c r="I72" i="2"/>
  <c r="J72" i="2"/>
  <c r="K72" i="2"/>
  <c r="L72" i="2"/>
  <c r="M72" i="2"/>
  <c r="N72" i="2"/>
  <c r="E70" i="2"/>
  <c r="F70" i="2"/>
  <c r="G70" i="2"/>
  <c r="H70" i="2"/>
  <c r="I70" i="2"/>
  <c r="J70" i="2"/>
  <c r="K70" i="2"/>
  <c r="L70" i="2"/>
  <c r="M70" i="2"/>
  <c r="N70" i="2"/>
  <c r="E73" i="2"/>
  <c r="F73" i="2"/>
  <c r="G73" i="2"/>
  <c r="H73" i="2"/>
  <c r="I73" i="2"/>
  <c r="J73" i="2"/>
  <c r="K73" i="2"/>
  <c r="L73" i="2"/>
  <c r="M73" i="2"/>
  <c r="N73" i="2"/>
  <c r="E80" i="2"/>
  <c r="F80" i="2"/>
  <c r="G80" i="2"/>
  <c r="H80" i="2"/>
  <c r="I80" i="2"/>
  <c r="J80" i="2"/>
  <c r="K80" i="2"/>
  <c r="L80" i="2"/>
  <c r="M80" i="2"/>
  <c r="N80" i="2"/>
  <c r="E79" i="2"/>
  <c r="F79" i="2"/>
  <c r="G79" i="2"/>
  <c r="H79" i="2"/>
  <c r="I79" i="2"/>
  <c r="J79" i="2"/>
  <c r="K79" i="2"/>
  <c r="L79" i="2"/>
  <c r="M79" i="2"/>
  <c r="N79" i="2"/>
  <c r="F5" i="22"/>
  <c r="E54" i="3"/>
  <c r="AA18" i="18"/>
  <c r="AC18" i="18"/>
  <c r="P40" i="1"/>
  <c r="J27" i="3"/>
  <c r="K27" i="3"/>
  <c r="G16" i="3"/>
  <c r="D63" i="2"/>
  <c r="H37" i="3"/>
  <c r="C6" i="19"/>
  <c r="C8" i="19"/>
  <c r="D10" i="1"/>
  <c r="H32" i="3"/>
  <c r="H34" i="3"/>
  <c r="K41" i="3"/>
  <c r="K36" i="3"/>
  <c r="K32" i="3"/>
  <c r="K23" i="3"/>
  <c r="K17" i="3"/>
  <c r="G18" i="3"/>
  <c r="D65" i="2"/>
  <c r="K40" i="3"/>
  <c r="K35" i="3"/>
  <c r="K26" i="3"/>
  <c r="K22" i="3"/>
  <c r="K39" i="3"/>
  <c r="K44" i="3"/>
  <c r="K34" i="3"/>
  <c r="K21" i="3"/>
  <c r="G22" i="3"/>
  <c r="D69" i="2"/>
  <c r="K43" i="3"/>
  <c r="K38" i="3"/>
  <c r="K25" i="3"/>
  <c r="K20" i="3"/>
  <c r="G17" i="3"/>
  <c r="D64" i="2"/>
  <c r="K42" i="3"/>
  <c r="K37" i="3"/>
  <c r="K33" i="3"/>
  <c r="K24" i="3"/>
  <c r="K18" i="3"/>
  <c r="H49" i="3"/>
  <c r="H39" i="3"/>
  <c r="H21" i="3"/>
  <c r="H23" i="3"/>
  <c r="H33" i="3"/>
  <c r="H45" i="3"/>
  <c r="H43" i="3"/>
  <c r="H35" i="3"/>
  <c r="H36" i="3"/>
  <c r="H24" i="3"/>
  <c r="H47" i="3"/>
  <c r="H38" i="3"/>
  <c r="H25" i="3"/>
  <c r="H44" i="3"/>
  <c r="H46" i="3"/>
  <c r="H41" i="3"/>
  <c r="H20" i="3"/>
  <c r="H48" i="3"/>
  <c r="H26" i="3"/>
  <c r="H42" i="3"/>
  <c r="K16" i="3"/>
  <c r="Q40" i="1"/>
  <c r="E64" i="2"/>
  <c r="F64" i="2"/>
  <c r="E65" i="2"/>
  <c r="F65" i="2"/>
  <c r="G65" i="2"/>
  <c r="H65" i="2"/>
  <c r="I65" i="2"/>
  <c r="J65" i="2"/>
  <c r="K65" i="2"/>
  <c r="L65" i="2"/>
  <c r="M65" i="2"/>
  <c r="N65" i="2"/>
  <c r="E69" i="2"/>
  <c r="F69" i="2"/>
  <c r="G69" i="2"/>
  <c r="H69" i="2"/>
  <c r="I69" i="2"/>
  <c r="J69" i="2"/>
  <c r="K69" i="2"/>
  <c r="L69" i="2"/>
  <c r="M69" i="2"/>
  <c r="N69" i="2"/>
  <c r="H16" i="3"/>
  <c r="E63" i="2"/>
  <c r="F63" i="2"/>
  <c r="G63" i="2"/>
  <c r="H63" i="2"/>
  <c r="H22" i="3"/>
  <c r="H18" i="3"/>
  <c r="H17" i="3"/>
  <c r="A1" i="1"/>
  <c r="A1" i="3"/>
  <c r="A1" i="12"/>
  <c r="I91" i="20" s="1"/>
  <c r="I63" i="2"/>
  <c r="G64" i="2"/>
  <c r="I97" i="20"/>
  <c r="L97" i="20" s="1"/>
  <c r="I93" i="20"/>
  <c r="U93" i="20" s="1"/>
  <c r="G19" i="3"/>
  <c r="D66" i="2"/>
  <c r="E66" i="2"/>
  <c r="H64" i="2"/>
  <c r="J63" i="2"/>
  <c r="G27" i="3"/>
  <c r="AG97" i="20"/>
  <c r="AF97" i="20"/>
  <c r="AC97" i="20"/>
  <c r="AB97" i="20"/>
  <c r="X93" i="20"/>
  <c r="Y97" i="20"/>
  <c r="U97" i="20"/>
  <c r="Q93" i="20"/>
  <c r="Q97" i="20"/>
  <c r="P97" i="20"/>
  <c r="AE97" i="20"/>
  <c r="W93" i="20"/>
  <c r="S93" i="20"/>
  <c r="S97" i="20"/>
  <c r="R97" i="20"/>
  <c r="E97" i="20"/>
  <c r="H19" i="3"/>
  <c r="K19" i="3"/>
  <c r="J29" i="3"/>
  <c r="J53" i="3"/>
  <c r="K29" i="3"/>
  <c r="D74" i="2"/>
  <c r="F66" i="2"/>
  <c r="G66" i="2"/>
  <c r="E74" i="2"/>
  <c r="K63" i="2"/>
  <c r="I64" i="2"/>
  <c r="H27" i="3"/>
  <c r="F74" i="2"/>
  <c r="L63" i="2"/>
  <c r="H66" i="2"/>
  <c r="G74" i="2"/>
  <c r="J64" i="2"/>
  <c r="K64" i="2"/>
  <c r="I66" i="2"/>
  <c r="H74" i="2"/>
  <c r="M63" i="2"/>
  <c r="J54" i="3"/>
  <c r="N63" i="2"/>
  <c r="J66" i="2"/>
  <c r="I74" i="2"/>
  <c r="L64" i="2"/>
  <c r="K66" i="2"/>
  <c r="J74" i="2"/>
  <c r="M64" i="2"/>
  <c r="L66" i="2"/>
  <c r="K74" i="2"/>
  <c r="N64" i="2"/>
  <c r="M66" i="2"/>
  <c r="L74" i="2"/>
  <c r="N66" i="2"/>
  <c r="N74" i="2"/>
  <c r="M74" i="2"/>
  <c r="K5" i="11"/>
  <c r="K6" i="11"/>
  <c r="L5" i="11"/>
  <c r="P10" i="1"/>
  <c r="L6" i="11"/>
  <c r="L7" i="11"/>
  <c r="L8" i="11"/>
  <c r="L9" i="11"/>
  <c r="L10" i="11"/>
  <c r="L11" i="11"/>
  <c r="L12" i="11"/>
  <c r="L13" i="11"/>
  <c r="L14" i="11"/>
  <c r="L15" i="11"/>
  <c r="K33" i="18"/>
  <c r="O33" i="18"/>
  <c r="G6" i="3"/>
  <c r="D53" i="2"/>
  <c r="G7" i="3"/>
  <c r="D54" i="2"/>
  <c r="G8" i="3"/>
  <c r="H8" i="3"/>
  <c r="D55" i="2"/>
  <c r="E54" i="2"/>
  <c r="E55" i="2"/>
  <c r="L47" i="22"/>
  <c r="J48" i="22"/>
  <c r="K47" i="22"/>
  <c r="K48" i="22"/>
  <c r="G13" i="3"/>
  <c r="H13" i="3"/>
  <c r="G10" i="3"/>
  <c r="D57" i="2"/>
  <c r="E60" i="2"/>
  <c r="E58" i="2"/>
  <c r="E57" i="2"/>
  <c r="E59" i="2"/>
  <c r="F55" i="2"/>
  <c r="M47" i="22"/>
  <c r="D60" i="2"/>
  <c r="G11" i="3"/>
  <c r="H11" i="3"/>
  <c r="H10" i="3"/>
  <c r="G12" i="3"/>
  <c r="D59" i="2"/>
  <c r="F59" i="2"/>
  <c r="F57" i="2"/>
  <c r="F58" i="2"/>
  <c r="F60" i="2"/>
  <c r="L48" i="22"/>
  <c r="G55" i="2"/>
  <c r="N47" i="22"/>
  <c r="H53" i="2"/>
  <c r="H54" i="2"/>
  <c r="H12" i="3"/>
  <c r="G14" i="3"/>
  <c r="G29" i="3"/>
  <c r="D58" i="2"/>
  <c r="D61" i="2"/>
  <c r="D76" i="2"/>
  <c r="D87" i="2"/>
  <c r="G60" i="2"/>
  <c r="G59" i="2"/>
  <c r="G58" i="2"/>
  <c r="G57" i="2"/>
  <c r="E61" i="2"/>
  <c r="E76" i="2"/>
  <c r="H55" i="2"/>
  <c r="O47" i="22"/>
  <c r="I53" i="2"/>
  <c r="I54" i="2"/>
  <c r="M48" i="22"/>
  <c r="D98" i="2"/>
  <c r="G40" i="3"/>
  <c r="L40" i="3"/>
  <c r="H29" i="3"/>
  <c r="H58" i="2"/>
  <c r="H57" i="2"/>
  <c r="H60" i="2"/>
  <c r="H59" i="2"/>
  <c r="E87" i="2"/>
  <c r="E98" i="2"/>
  <c r="F61" i="2"/>
  <c r="F76" i="2"/>
  <c r="N48" i="22"/>
  <c r="J53" i="2"/>
  <c r="J54" i="2"/>
  <c r="I55" i="2"/>
  <c r="P47" i="22"/>
  <c r="D100" i="2"/>
  <c r="G51" i="3"/>
  <c r="H51" i="3"/>
  <c r="H40" i="3"/>
  <c r="P11" i="1"/>
  <c r="D108" i="2"/>
  <c r="D106" i="2"/>
  <c r="D105" i="2"/>
  <c r="D112" i="2"/>
  <c r="D103" i="2"/>
  <c r="D110" i="2"/>
  <c r="D104" i="2"/>
  <c r="D109" i="2"/>
  <c r="D107" i="2"/>
  <c r="D113" i="2"/>
  <c r="D111" i="2"/>
  <c r="H30" i="18"/>
  <c r="E100" i="2"/>
  <c r="E113" i="2"/>
  <c r="G53" i="3"/>
  <c r="I59" i="2"/>
  <c r="I58" i="2"/>
  <c r="I57" i="2"/>
  <c r="I60" i="2"/>
  <c r="F87" i="2"/>
  <c r="F98" i="2"/>
  <c r="G61" i="2"/>
  <c r="G76" i="2"/>
  <c r="O48" i="22"/>
  <c r="K53" i="2"/>
  <c r="K54" i="2"/>
  <c r="J55" i="2"/>
  <c r="Q47" i="22"/>
  <c r="G57" i="3"/>
  <c r="G58" i="3"/>
  <c r="H53" i="3"/>
  <c r="G55" i="3"/>
  <c r="P16" i="1"/>
  <c r="J30" i="18"/>
  <c r="E106" i="2"/>
  <c r="E107" i="2"/>
  <c r="E109" i="2"/>
  <c r="E112" i="2"/>
  <c r="E110" i="2"/>
  <c r="E108" i="2"/>
  <c r="E111" i="2"/>
  <c r="G54" i="3"/>
  <c r="E104" i="2"/>
  <c r="E105" i="2"/>
  <c r="E103" i="2"/>
  <c r="F100" i="2"/>
  <c r="F105" i="2"/>
  <c r="J58" i="2"/>
  <c r="J57" i="2"/>
  <c r="J60" i="2"/>
  <c r="J59" i="2"/>
  <c r="K45" i="18"/>
  <c r="O45" i="18"/>
  <c r="G87" i="2"/>
  <c r="G98" i="2"/>
  <c r="I45" i="18"/>
  <c r="H61" i="2"/>
  <c r="H76" i="2"/>
  <c r="P48" i="22"/>
  <c r="K55" i="2"/>
  <c r="R47" i="22"/>
  <c r="L53" i="2"/>
  <c r="L54" i="2"/>
  <c r="L30" i="18"/>
  <c r="P17" i="1"/>
  <c r="P18" i="1"/>
  <c r="P20" i="1"/>
  <c r="AO4" i="11"/>
  <c r="AS18" i="11"/>
  <c r="AU18" i="11"/>
  <c r="F103" i="2"/>
  <c r="F113" i="2"/>
  <c r="F112" i="2"/>
  <c r="F110" i="2"/>
  <c r="F108" i="2"/>
  <c r="F104" i="2"/>
  <c r="F107" i="2"/>
  <c r="F111" i="2"/>
  <c r="F109" i="2"/>
  <c r="F106" i="2"/>
  <c r="G100" i="2"/>
  <c r="G113" i="2"/>
  <c r="J45" i="18"/>
  <c r="J46" i="18"/>
  <c r="K57" i="2"/>
  <c r="K59" i="2"/>
  <c r="K60" i="2"/>
  <c r="K58" i="2"/>
  <c r="K47" i="18"/>
  <c r="K55" i="18"/>
  <c r="K66" i="18"/>
  <c r="K63" i="18"/>
  <c r="K75" i="18"/>
  <c r="O47" i="18"/>
  <c r="O55" i="18"/>
  <c r="O66" i="18"/>
  <c r="O63" i="18"/>
  <c r="O75" i="18"/>
  <c r="H87" i="2"/>
  <c r="H98" i="2"/>
  <c r="I61" i="2"/>
  <c r="I76" i="2"/>
  <c r="I87" i="2"/>
  <c r="I47" i="18"/>
  <c r="M53" i="2"/>
  <c r="M54" i="2"/>
  <c r="L55" i="2"/>
  <c r="S47" i="22"/>
  <c r="Q48" i="22"/>
  <c r="AT18" i="11"/>
  <c r="AV18" i="11"/>
  <c r="AW18" i="11"/>
  <c r="AS19" i="11"/>
  <c r="G111" i="2"/>
  <c r="G110" i="2"/>
  <c r="G106" i="2"/>
  <c r="G105" i="2"/>
  <c r="G107" i="2"/>
  <c r="G103" i="2"/>
  <c r="G109" i="2"/>
  <c r="N30" i="18"/>
  <c r="G108" i="2"/>
  <c r="G104" i="2"/>
  <c r="G112" i="2"/>
  <c r="L45" i="18"/>
  <c r="N46" i="18"/>
  <c r="H100" i="2"/>
  <c r="H105" i="2"/>
  <c r="L46" i="18"/>
  <c r="L60" i="2"/>
  <c r="L57" i="2"/>
  <c r="L59" i="2"/>
  <c r="L58" i="2"/>
  <c r="AC47" i="18"/>
  <c r="I55" i="18"/>
  <c r="I66" i="18"/>
  <c r="K79" i="18"/>
  <c r="K84" i="18"/>
  <c r="O62" i="18"/>
  <c r="O74" i="18"/>
  <c r="K62" i="18"/>
  <c r="K74" i="18"/>
  <c r="I98" i="2"/>
  <c r="J61" i="2"/>
  <c r="J76" i="2"/>
  <c r="R48" i="22"/>
  <c r="M55" i="2"/>
  <c r="T47" i="22"/>
  <c r="N53" i="2"/>
  <c r="P30" i="18"/>
  <c r="H113" i="2"/>
  <c r="H110" i="2"/>
  <c r="H106" i="2"/>
  <c r="H108" i="2"/>
  <c r="H111" i="2"/>
  <c r="H104" i="2"/>
  <c r="H109" i="2"/>
  <c r="H112" i="2"/>
  <c r="H107" i="2"/>
  <c r="H103" i="2"/>
  <c r="N45" i="18"/>
  <c r="I100" i="2"/>
  <c r="I112" i="2"/>
  <c r="O83" i="18"/>
  <c r="O88" i="18"/>
  <c r="O80" i="18"/>
  <c r="K83" i="18"/>
  <c r="K88" i="18"/>
  <c r="K80" i="18"/>
  <c r="AT19" i="11"/>
  <c r="AU19" i="11"/>
  <c r="M60" i="2"/>
  <c r="M59" i="2"/>
  <c r="M58" i="2"/>
  <c r="M57" i="2"/>
  <c r="N54" i="2"/>
  <c r="N55" i="2"/>
  <c r="U47" i="22"/>
  <c r="U48" i="22"/>
  <c r="I63" i="18"/>
  <c r="I75" i="18"/>
  <c r="J87" i="2"/>
  <c r="K61" i="2"/>
  <c r="K76" i="2"/>
  <c r="S48" i="22"/>
  <c r="I106" i="2"/>
  <c r="I111" i="2"/>
  <c r="I110" i="2"/>
  <c r="I109" i="2"/>
  <c r="I105" i="2"/>
  <c r="I107" i="2"/>
  <c r="I113" i="2"/>
  <c r="I103" i="2"/>
  <c r="I104" i="2"/>
  <c r="I108" i="2"/>
  <c r="R30" i="18"/>
  <c r="P46" i="18"/>
  <c r="P45" i="18"/>
  <c r="O87" i="18"/>
  <c r="K87" i="18"/>
  <c r="T48" i="22"/>
  <c r="N59" i="2"/>
  <c r="N58" i="2"/>
  <c r="N57" i="2"/>
  <c r="N60" i="2"/>
  <c r="I79" i="18"/>
  <c r="I84" i="18"/>
  <c r="I62" i="18"/>
  <c r="I74" i="18"/>
  <c r="K87" i="2"/>
  <c r="AV19" i="11"/>
  <c r="AW19" i="11"/>
  <c r="AS20" i="11"/>
  <c r="L61" i="2"/>
  <c r="L76" i="2"/>
  <c r="R46" i="18"/>
  <c r="R45" i="18"/>
  <c r="I83" i="18"/>
  <c r="I87" i="18"/>
  <c r="I80" i="18"/>
  <c r="AT20" i="11"/>
  <c r="AU20" i="11"/>
  <c r="L87" i="2"/>
  <c r="N61" i="2"/>
  <c r="N76" i="2"/>
  <c r="N87" i="2"/>
  <c r="M61" i="2"/>
  <c r="M76" i="2"/>
  <c r="V30" i="18"/>
  <c r="T46" i="18"/>
  <c r="T45" i="18"/>
  <c r="AV20" i="11"/>
  <c r="AW20" i="11"/>
  <c r="AS21" i="11"/>
  <c r="AU21" i="11"/>
  <c r="I88" i="18"/>
  <c r="M87" i="2"/>
  <c r="AT21" i="11"/>
  <c r="AV21" i="11"/>
  <c r="AW21" i="11"/>
  <c r="AS22" i="11"/>
  <c r="V45" i="18"/>
  <c r="V46" i="18"/>
  <c r="X46" i="18"/>
  <c r="X45" i="18"/>
  <c r="Z45" i="18"/>
  <c r="Z46" i="18"/>
  <c r="AT22" i="11"/>
  <c r="AU22" i="11"/>
  <c r="AV22" i="11"/>
  <c r="AW22" i="11"/>
  <c r="AS23" i="11"/>
  <c r="AU23" i="11"/>
  <c r="AT23" i="11"/>
  <c r="AV23" i="11"/>
  <c r="AW23" i="11"/>
  <c r="AS24" i="11"/>
  <c r="AU24" i="11"/>
  <c r="AT24" i="11"/>
  <c r="AV24" i="11"/>
  <c r="AW24" i="11"/>
  <c r="AS25" i="11"/>
  <c r="AT25" i="11"/>
  <c r="AU25" i="11"/>
  <c r="AV25" i="11"/>
  <c r="AW25" i="11"/>
  <c r="AS26" i="11"/>
  <c r="AU26" i="11"/>
  <c r="AT26" i="11"/>
  <c r="AV26" i="11"/>
  <c r="AW26" i="11"/>
  <c r="AS27" i="11"/>
  <c r="AT27" i="11"/>
  <c r="AU27" i="11"/>
  <c r="AV27" i="11"/>
  <c r="AW27" i="11"/>
  <c r="AS28" i="11"/>
  <c r="AU28" i="11"/>
  <c r="AT28" i="11"/>
  <c r="AV28" i="11"/>
  <c r="AW28" i="11"/>
  <c r="AS29" i="11"/>
  <c r="AU29" i="11"/>
  <c r="AT29" i="11"/>
  <c r="AV29" i="11"/>
  <c r="AW29" i="11"/>
  <c r="AS30" i="11"/>
  <c r="AT30" i="11"/>
  <c r="AU30" i="11"/>
  <c r="AV30" i="11"/>
  <c r="AW30" i="11"/>
  <c r="AS31" i="11"/>
  <c r="AU31" i="11"/>
  <c r="AT31" i="11"/>
  <c r="AV31" i="11"/>
  <c r="AW31" i="11"/>
  <c r="AS32" i="11"/>
  <c r="AT32" i="11"/>
  <c r="AU32" i="11"/>
  <c r="AV32" i="11"/>
  <c r="AW32" i="11"/>
  <c r="AS33" i="11"/>
  <c r="AU33" i="11"/>
  <c r="AT33" i="11"/>
  <c r="AV33" i="11"/>
  <c r="AW33" i="11"/>
  <c r="AS34" i="11"/>
  <c r="AU34" i="11"/>
  <c r="AT34" i="11"/>
  <c r="AV34" i="11"/>
  <c r="AW34" i="11"/>
  <c r="AS35" i="11"/>
  <c r="AU35" i="11"/>
  <c r="AT35" i="11"/>
  <c r="AV35" i="11"/>
  <c r="AW35" i="11"/>
  <c r="AS36" i="11"/>
  <c r="AU36" i="11"/>
  <c r="AT36" i="11"/>
  <c r="AV36" i="11"/>
  <c r="AW36" i="11"/>
  <c r="AS37" i="11"/>
  <c r="AU37" i="11"/>
  <c r="AT37" i="11"/>
  <c r="AV37" i="11"/>
  <c r="AW37" i="11"/>
  <c r="AS38" i="11"/>
  <c r="AU38" i="11"/>
  <c r="AT38" i="11"/>
  <c r="AV38" i="11"/>
  <c r="AW38" i="11"/>
  <c r="AS39" i="11"/>
  <c r="AT39" i="11"/>
  <c r="AU39" i="11"/>
  <c r="AV39" i="11"/>
  <c r="AW39" i="11"/>
  <c r="AS40" i="11"/>
  <c r="AU40" i="11"/>
  <c r="AT40" i="11"/>
  <c r="AV40" i="11"/>
  <c r="AW40" i="11"/>
  <c r="AS41" i="11"/>
  <c r="AU41" i="11"/>
  <c r="AT41" i="11"/>
  <c r="AV41" i="11"/>
  <c r="AW41" i="11"/>
  <c r="AS42" i="11"/>
  <c r="AU42" i="11"/>
  <c r="AT42" i="11"/>
  <c r="AV42" i="11"/>
  <c r="AW42" i="11"/>
  <c r="AS43" i="11"/>
  <c r="AU43" i="11"/>
  <c r="AT43" i="11"/>
  <c r="AV43" i="11"/>
  <c r="AW43" i="11"/>
  <c r="AS44" i="11"/>
  <c r="AU44" i="11"/>
  <c r="AT44" i="11"/>
  <c r="AV44" i="11"/>
  <c r="AW44" i="11"/>
  <c r="AS45" i="11"/>
  <c r="AU45" i="11"/>
  <c r="AT45" i="11"/>
  <c r="AV45" i="11"/>
  <c r="AW45" i="11"/>
  <c r="AS46" i="11"/>
  <c r="AU46" i="11"/>
  <c r="AT46" i="11"/>
  <c r="AV46" i="11"/>
  <c r="AW46" i="11"/>
  <c r="AS47" i="11"/>
  <c r="AT47" i="11"/>
  <c r="AU47" i="11"/>
  <c r="AV47" i="11"/>
  <c r="AW47" i="11"/>
  <c r="AS48" i="11"/>
  <c r="AU48" i="11"/>
  <c r="AT48" i="11"/>
  <c r="AV48" i="11"/>
  <c r="AW48" i="11"/>
  <c r="AS49" i="11"/>
  <c r="AT49" i="11"/>
  <c r="AU49" i="11"/>
  <c r="AV49" i="11"/>
  <c r="AW49" i="11"/>
  <c r="AS50" i="11"/>
  <c r="AU50" i="11"/>
  <c r="AT50" i="11"/>
  <c r="AV50" i="11"/>
  <c r="AW50" i="11"/>
  <c r="AS51" i="11"/>
  <c r="AU51" i="11"/>
  <c r="AT51" i="11"/>
  <c r="AV51" i="11"/>
  <c r="AW51" i="11"/>
  <c r="AS52" i="11"/>
  <c r="AU52" i="11"/>
  <c r="AT52" i="11"/>
  <c r="AV52" i="11"/>
  <c r="AW52" i="11"/>
  <c r="AS53" i="11"/>
  <c r="AU53" i="11"/>
  <c r="AT53" i="11"/>
  <c r="AV53" i="11"/>
  <c r="AW53" i="11"/>
  <c r="AS54" i="11"/>
  <c r="AU54" i="11"/>
  <c r="AT54" i="11"/>
  <c r="AV54" i="11"/>
  <c r="AW54" i="11"/>
  <c r="AS55" i="11"/>
  <c r="AU55" i="11"/>
  <c r="AT55" i="11"/>
  <c r="AV55" i="11"/>
  <c r="AW55" i="11"/>
  <c r="AS56" i="11"/>
  <c r="AU56" i="11"/>
  <c r="AT56" i="11"/>
  <c r="AV56" i="11"/>
  <c r="AW56" i="11"/>
  <c r="AS57" i="11"/>
  <c r="AU57" i="11"/>
  <c r="AT57" i="11"/>
  <c r="AV57" i="11"/>
  <c r="AW57" i="11"/>
  <c r="AS58" i="11"/>
  <c r="AU58" i="11"/>
  <c r="AT58" i="11"/>
  <c r="AV58" i="11"/>
  <c r="AW58" i="11"/>
  <c r="AS59" i="11"/>
  <c r="AU59" i="11"/>
  <c r="AT59" i="11"/>
  <c r="AV59" i="11"/>
  <c r="AW59" i="11"/>
  <c r="AS60" i="11"/>
  <c r="AU60" i="11"/>
  <c r="AT60" i="11"/>
  <c r="AV60" i="11"/>
  <c r="AW60" i="11"/>
  <c r="AS61" i="11"/>
  <c r="AU61" i="11"/>
  <c r="AT61" i="11"/>
  <c r="AV61" i="11"/>
  <c r="AW61" i="11"/>
  <c r="AS62" i="11"/>
  <c r="AT62" i="11"/>
  <c r="AU62" i="11"/>
  <c r="AV62" i="11"/>
  <c r="AW62" i="11"/>
  <c r="AS63" i="11"/>
  <c r="AU63" i="11"/>
  <c r="AT63" i="11"/>
  <c r="AV63" i="11"/>
  <c r="AW63" i="11"/>
  <c r="AS64" i="11"/>
  <c r="AU64" i="11"/>
  <c r="AT64" i="11"/>
  <c r="AV64" i="11"/>
  <c r="AW64" i="11"/>
  <c r="AS65" i="11"/>
  <c r="AU65" i="11"/>
  <c r="AT65" i="11"/>
  <c r="AV65" i="11"/>
  <c r="AW65" i="11"/>
  <c r="AS66" i="11"/>
  <c r="AT66" i="11"/>
  <c r="AU66" i="11"/>
  <c r="AV66" i="11"/>
  <c r="AW66" i="11"/>
  <c r="AS67" i="11"/>
  <c r="AU67" i="11"/>
  <c r="AT67" i="11"/>
  <c r="AV67" i="11"/>
  <c r="AW67" i="11"/>
  <c r="AS68" i="11"/>
  <c r="AT68" i="11"/>
  <c r="AU68" i="11"/>
  <c r="AV68" i="11"/>
  <c r="AW68" i="11"/>
  <c r="AS69" i="11"/>
  <c r="AU69" i="11"/>
  <c r="AT69" i="11"/>
  <c r="AV69" i="11"/>
  <c r="AW69" i="11"/>
  <c r="AS70" i="11"/>
  <c r="AU70" i="11"/>
  <c r="AT70" i="11"/>
  <c r="AV70" i="11"/>
  <c r="AW70" i="11"/>
  <c r="AS71" i="11"/>
  <c r="AT71" i="11"/>
  <c r="AU71" i="11"/>
  <c r="AV71" i="11"/>
  <c r="AW71" i="11"/>
  <c r="AS72" i="11"/>
  <c r="AU72" i="11"/>
  <c r="AT72" i="11"/>
  <c r="AV72" i="11"/>
  <c r="AW72" i="11"/>
  <c r="AS73" i="11"/>
  <c r="AU73" i="11"/>
  <c r="AT73" i="11"/>
  <c r="AV73" i="11"/>
  <c r="AW73" i="11"/>
  <c r="AS74" i="11"/>
  <c r="AU74" i="11"/>
  <c r="AT74" i="11"/>
  <c r="AV74" i="11"/>
  <c r="AW74" i="11"/>
  <c r="AS75" i="11"/>
  <c r="AU75" i="11"/>
  <c r="AT75" i="11"/>
  <c r="AV75" i="11"/>
  <c r="AW75" i="11"/>
  <c r="AS76" i="11"/>
  <c r="AU76" i="11"/>
  <c r="AT76" i="11"/>
  <c r="AV76" i="11"/>
  <c r="AW76" i="11"/>
  <c r="AS77" i="11"/>
  <c r="AU77" i="11"/>
  <c r="AT77" i="11"/>
  <c r="AV77" i="11"/>
  <c r="AW77" i="11"/>
  <c r="AS78" i="11"/>
  <c r="AU78" i="11"/>
  <c r="AT78" i="11"/>
  <c r="AV78" i="11"/>
  <c r="AW78" i="11"/>
  <c r="AS79" i="11"/>
  <c r="AU79" i="11"/>
  <c r="AT79" i="11"/>
  <c r="AV79" i="11"/>
  <c r="AW79" i="11"/>
  <c r="AS80" i="11"/>
  <c r="AU80" i="11"/>
  <c r="AT80" i="11"/>
  <c r="AV80" i="11"/>
  <c r="AW80" i="11"/>
  <c r="AS81" i="11"/>
  <c r="AT81" i="11"/>
  <c r="AU81" i="11"/>
  <c r="AV81" i="11"/>
  <c r="AW81" i="11"/>
  <c r="AS82" i="11"/>
  <c r="AU82" i="11"/>
  <c r="AT82" i="11"/>
  <c r="AV82" i="11"/>
  <c r="AW82" i="11"/>
  <c r="AS83" i="11"/>
  <c r="AU83" i="11"/>
  <c r="AT83" i="11"/>
  <c r="AV83" i="11"/>
  <c r="AW83" i="11"/>
  <c r="AS84" i="11"/>
  <c r="AU84" i="11"/>
  <c r="AT84" i="11"/>
  <c r="AV84" i="11"/>
  <c r="AW84" i="11"/>
  <c r="AS85" i="11"/>
  <c r="AU85" i="11"/>
  <c r="AT85" i="11"/>
  <c r="AV85" i="11"/>
  <c r="AW85" i="11"/>
  <c r="AS86" i="11"/>
  <c r="AT86" i="11"/>
  <c r="AU86" i="11"/>
  <c r="AV86" i="11"/>
  <c r="AW86" i="11"/>
  <c r="AS87" i="11"/>
  <c r="AU87" i="11"/>
  <c r="AT87" i="11"/>
  <c r="AV87" i="11"/>
  <c r="AW87" i="11"/>
  <c r="AS88" i="11"/>
  <c r="AT88" i="11"/>
  <c r="AU88" i="11"/>
  <c r="AV88" i="11"/>
  <c r="AW88" i="11"/>
  <c r="AS89" i="11"/>
  <c r="AU89" i="11"/>
  <c r="AT89" i="11"/>
  <c r="AV89" i="11"/>
  <c r="AW89" i="11"/>
  <c r="AS90" i="11"/>
  <c r="AU90" i="11"/>
  <c r="AT90" i="11"/>
  <c r="AV90" i="11"/>
  <c r="AW90" i="11"/>
  <c r="AS91" i="11"/>
  <c r="AU91" i="11"/>
  <c r="AT91" i="11"/>
  <c r="AV91" i="11"/>
  <c r="AW91" i="11"/>
  <c r="AS92" i="11"/>
  <c r="AU92" i="11"/>
  <c r="AT92" i="11"/>
  <c r="AV92" i="11"/>
  <c r="AW92" i="11"/>
  <c r="AS93" i="11"/>
  <c r="AU93" i="11"/>
  <c r="AT93" i="11"/>
  <c r="AV93" i="11"/>
  <c r="AW93" i="11"/>
  <c r="AS94" i="11"/>
  <c r="AT94" i="11"/>
  <c r="AU94" i="11"/>
  <c r="AV94" i="11"/>
  <c r="AW94" i="11"/>
  <c r="AS95" i="11"/>
  <c r="AU95" i="11"/>
  <c r="AT95" i="11"/>
  <c r="AV95" i="11"/>
  <c r="AW95" i="11"/>
  <c r="AS96" i="11"/>
  <c r="AU96" i="11"/>
  <c r="AT96" i="11"/>
  <c r="AV96" i="11"/>
  <c r="AW96" i="11"/>
  <c r="AS97" i="11"/>
  <c r="AU97" i="11"/>
  <c r="AT97" i="11"/>
  <c r="AV97" i="11"/>
  <c r="AW97" i="11"/>
  <c r="AS98" i="11"/>
  <c r="AU98" i="11"/>
  <c r="AT98" i="11"/>
  <c r="AV98" i="11"/>
  <c r="AW98" i="11"/>
  <c r="AS99" i="11"/>
  <c r="AU99" i="11"/>
  <c r="AT99" i="11"/>
  <c r="AV99" i="11"/>
  <c r="AW99" i="11"/>
  <c r="AS100" i="11"/>
  <c r="AU100" i="11"/>
  <c r="AT100" i="11"/>
  <c r="AV100" i="11"/>
  <c r="AW100" i="11"/>
  <c r="AS101" i="11"/>
  <c r="AT101" i="11"/>
  <c r="AU101" i="11"/>
  <c r="AV101" i="11"/>
  <c r="AW101" i="11"/>
  <c r="AS102" i="11"/>
  <c r="AU102" i="11"/>
  <c r="AT102" i="11"/>
  <c r="AV102" i="11"/>
  <c r="AW102" i="11"/>
  <c r="AS103" i="11"/>
  <c r="AU103" i="11"/>
  <c r="AT103" i="11"/>
  <c r="AV103" i="11"/>
  <c r="AW103" i="11"/>
  <c r="AS104" i="11"/>
  <c r="AU104" i="11"/>
  <c r="AT104" i="11"/>
  <c r="AV104" i="11"/>
  <c r="AW104" i="11"/>
  <c r="AS105" i="11"/>
  <c r="AU105" i="11"/>
  <c r="AT105" i="11"/>
  <c r="AV105" i="11"/>
  <c r="AW105" i="11"/>
  <c r="AS106" i="11"/>
  <c r="AU106" i="11"/>
  <c r="AT106" i="11"/>
  <c r="AV106" i="11"/>
  <c r="AW106" i="11"/>
  <c r="AS107" i="11"/>
  <c r="AU107" i="11"/>
  <c r="AT107" i="11"/>
  <c r="AV107" i="11"/>
  <c r="AW107" i="11"/>
  <c r="AS108" i="11"/>
  <c r="AU108" i="11"/>
  <c r="AT108" i="11"/>
  <c r="AV108" i="11"/>
  <c r="AW108" i="11"/>
  <c r="AS109" i="11"/>
  <c r="AU109" i="11"/>
  <c r="AT109" i="11"/>
  <c r="AV109" i="11"/>
  <c r="AW109" i="11"/>
  <c r="AS110" i="11"/>
  <c r="AU110" i="11"/>
  <c r="AT110" i="11"/>
  <c r="AV110" i="11"/>
  <c r="AW110" i="11"/>
  <c r="AS111" i="11"/>
  <c r="AU111" i="11"/>
  <c r="AT111" i="11"/>
  <c r="AV111" i="11"/>
  <c r="AW111" i="11"/>
  <c r="AS112" i="11"/>
  <c r="AU112" i="11"/>
  <c r="AT112" i="11"/>
  <c r="AV112" i="11"/>
  <c r="AW112" i="11"/>
  <c r="AS113" i="11"/>
  <c r="AU113" i="11"/>
  <c r="AT113" i="11"/>
  <c r="AV113" i="11"/>
  <c r="AW113" i="11"/>
  <c r="AS114" i="11"/>
  <c r="AU114" i="11"/>
  <c r="AT114" i="11"/>
  <c r="AV114" i="11"/>
  <c r="AW114" i="11"/>
  <c r="AS115" i="11"/>
  <c r="AU115" i="11"/>
  <c r="AT115" i="11"/>
  <c r="AV115" i="11"/>
  <c r="AW115" i="11"/>
  <c r="AS116" i="11"/>
  <c r="AT116" i="11"/>
  <c r="AU116" i="11"/>
  <c r="AV116" i="11"/>
  <c r="AW116" i="11"/>
  <c r="AS117" i="11"/>
  <c r="AT117" i="11"/>
  <c r="AU117" i="11"/>
  <c r="AV117" i="11"/>
  <c r="AW117" i="11"/>
  <c r="AS118" i="11"/>
  <c r="AU118" i="11"/>
  <c r="AT118" i="11"/>
  <c r="AV118" i="11"/>
  <c r="AW118" i="11"/>
  <c r="AS119" i="11"/>
  <c r="AT119" i="11"/>
  <c r="AU119" i="11"/>
  <c r="AV119" i="11"/>
  <c r="AW119" i="11"/>
  <c r="AS120" i="11"/>
  <c r="AU120" i="11"/>
  <c r="AT120" i="11"/>
  <c r="AV120" i="11"/>
  <c r="AW120" i="11"/>
  <c r="AS121" i="11"/>
  <c r="AU121" i="11"/>
  <c r="AT121" i="11"/>
  <c r="AV121" i="11"/>
  <c r="AW121" i="11"/>
  <c r="AS122" i="11"/>
  <c r="AU122" i="11"/>
  <c r="AT122" i="11"/>
  <c r="AV122" i="11"/>
  <c r="AW122" i="11"/>
  <c r="AS123" i="11"/>
  <c r="AU123" i="11"/>
  <c r="AT123" i="11"/>
  <c r="AV123" i="11"/>
  <c r="AW123" i="11"/>
  <c r="AS124" i="11"/>
  <c r="AT124" i="11"/>
  <c r="AU124" i="11"/>
  <c r="AV124" i="11"/>
  <c r="AW124" i="11"/>
  <c r="AS125" i="11"/>
  <c r="AU125" i="11"/>
  <c r="AT125" i="11"/>
  <c r="AV125" i="11"/>
  <c r="AW125" i="11"/>
  <c r="AS126" i="11"/>
  <c r="AU126" i="11"/>
  <c r="AT126" i="11"/>
  <c r="AV126" i="11"/>
  <c r="AW126" i="11"/>
  <c r="AS127" i="11"/>
  <c r="AU127" i="11"/>
  <c r="AT127" i="11"/>
  <c r="AV127" i="11"/>
  <c r="AW127" i="11"/>
  <c r="AS128" i="11"/>
  <c r="AU128" i="11"/>
  <c r="AT128" i="11"/>
  <c r="AV128" i="11"/>
  <c r="AW128" i="11"/>
  <c r="AS129" i="11"/>
  <c r="AU129" i="11"/>
  <c r="AT129" i="11"/>
  <c r="AV129" i="11"/>
  <c r="AW129" i="11"/>
  <c r="AS130" i="11"/>
  <c r="AU130" i="11"/>
  <c r="AT130" i="11"/>
  <c r="AV130" i="11"/>
  <c r="AW130" i="11"/>
  <c r="AS131" i="11"/>
  <c r="AU131" i="11"/>
  <c r="AT131" i="11"/>
  <c r="AV131" i="11"/>
  <c r="AW131" i="11"/>
  <c r="AS132" i="11"/>
  <c r="AU132" i="11"/>
  <c r="AT132" i="11"/>
  <c r="AV132" i="11"/>
  <c r="AW132" i="11"/>
  <c r="AS133" i="11"/>
  <c r="AU133" i="11"/>
  <c r="AT133" i="11"/>
  <c r="AV133" i="11"/>
  <c r="AW133" i="11"/>
  <c r="AS134" i="11"/>
  <c r="AT134" i="11"/>
  <c r="AU134" i="11"/>
  <c r="AV134" i="11"/>
  <c r="AW134" i="11"/>
  <c r="AS135" i="11"/>
  <c r="AU135" i="11"/>
  <c r="AT135" i="11"/>
  <c r="AV135" i="11"/>
  <c r="AW135" i="11"/>
  <c r="AS136" i="11"/>
  <c r="AU136" i="11"/>
  <c r="AT136" i="11"/>
  <c r="AV136" i="11"/>
  <c r="AW136" i="11"/>
  <c r="AS137" i="11"/>
  <c r="AU137" i="11"/>
  <c r="AT137" i="11"/>
  <c r="AV137" i="11"/>
  <c r="AW137" i="11"/>
  <c r="AS138" i="11"/>
  <c r="AU138" i="11"/>
  <c r="AT138" i="11"/>
  <c r="AV138" i="11"/>
  <c r="AW138" i="11"/>
  <c r="AS139" i="11"/>
  <c r="AU139" i="11"/>
  <c r="AT139" i="11"/>
  <c r="AV139" i="11"/>
  <c r="AW139" i="11"/>
  <c r="AS140" i="11"/>
  <c r="AU140" i="11"/>
  <c r="AT140" i="11"/>
  <c r="AV140" i="11"/>
  <c r="AW140" i="11"/>
  <c r="AS141" i="11"/>
  <c r="AU141" i="11"/>
  <c r="AT141" i="11"/>
  <c r="AV141" i="11"/>
  <c r="AW141" i="11"/>
  <c r="AS142" i="11"/>
  <c r="AU142" i="11"/>
  <c r="AT142" i="11"/>
  <c r="AV142" i="11"/>
  <c r="AW142" i="11"/>
  <c r="AS143" i="11"/>
  <c r="AT143" i="11"/>
  <c r="AU143" i="11"/>
  <c r="AV143" i="11"/>
  <c r="AW143" i="11"/>
  <c r="AS144" i="11"/>
  <c r="AU144" i="11"/>
  <c r="AT144" i="11"/>
  <c r="AV144" i="11"/>
  <c r="AW144" i="11"/>
  <c r="AS145" i="11"/>
  <c r="AU145" i="11"/>
  <c r="AT145" i="11"/>
  <c r="AV145" i="11"/>
  <c r="AW145" i="11"/>
  <c r="AS146" i="11"/>
  <c r="AU146" i="11"/>
  <c r="AT146" i="11"/>
  <c r="AV146" i="11"/>
  <c r="AW146" i="11"/>
  <c r="AS147" i="11"/>
  <c r="AU147" i="11"/>
  <c r="AT147" i="11"/>
  <c r="AV147" i="11"/>
  <c r="AW147" i="11"/>
  <c r="AS148" i="11"/>
  <c r="AU148" i="11"/>
  <c r="AT148" i="11"/>
  <c r="AV148" i="11"/>
  <c r="AW148" i="11"/>
  <c r="AS149" i="11"/>
  <c r="AU149" i="11"/>
  <c r="AT149" i="11"/>
  <c r="AV149" i="11"/>
  <c r="AW149" i="11"/>
  <c r="AS150" i="11"/>
  <c r="AU150" i="11"/>
  <c r="AT150" i="11"/>
  <c r="AV150" i="11"/>
  <c r="AW150" i="11"/>
  <c r="AS151" i="11"/>
  <c r="AU151" i="11"/>
  <c r="AT151" i="11"/>
  <c r="AV151" i="11"/>
  <c r="AW151" i="11"/>
  <c r="AS152" i="11"/>
  <c r="AU152" i="11"/>
  <c r="AT152" i="11"/>
  <c r="AV152" i="11"/>
  <c r="AW152" i="11"/>
  <c r="AS153" i="11"/>
  <c r="AU153" i="11"/>
  <c r="AT153" i="11"/>
  <c r="AV153" i="11"/>
  <c r="AW153" i="11"/>
  <c r="AS154" i="11"/>
  <c r="AT154" i="11"/>
  <c r="AU154" i="11"/>
  <c r="AV154" i="11"/>
  <c r="AW154" i="11"/>
  <c r="AS155" i="11"/>
  <c r="AT155" i="11"/>
  <c r="AU155" i="11"/>
  <c r="AV155" i="11"/>
  <c r="AW155" i="11"/>
  <c r="AS156" i="11"/>
  <c r="AU156" i="11"/>
  <c r="AT156" i="11"/>
  <c r="AV156" i="11"/>
  <c r="AW156" i="11"/>
  <c r="AS157" i="11"/>
  <c r="AU157" i="11"/>
  <c r="AT157" i="11"/>
  <c r="AV157" i="11"/>
  <c r="AW157" i="11"/>
  <c r="AS158" i="11"/>
  <c r="AU158" i="11"/>
  <c r="AT158" i="11"/>
  <c r="AV158" i="11"/>
  <c r="AW158" i="11"/>
  <c r="AS159" i="11"/>
  <c r="AU159" i="11"/>
  <c r="AT159" i="11"/>
  <c r="AV159" i="11"/>
  <c r="AW159" i="11"/>
  <c r="AS160" i="11"/>
  <c r="AU160" i="11"/>
  <c r="AT160" i="11"/>
  <c r="AV160" i="11"/>
  <c r="AW160" i="11"/>
  <c r="AS161" i="11"/>
  <c r="AU161" i="11"/>
  <c r="AT161" i="11"/>
  <c r="AV161" i="11"/>
  <c r="AW161" i="11"/>
  <c r="AS162" i="11"/>
  <c r="AU162" i="11"/>
  <c r="AT162" i="11"/>
  <c r="AV162" i="11"/>
  <c r="AW162" i="11"/>
  <c r="AS163" i="11"/>
  <c r="AU163" i="11"/>
  <c r="AT163" i="11"/>
  <c r="AV163" i="11"/>
  <c r="AW163" i="11"/>
  <c r="AS164" i="11"/>
  <c r="AU164" i="11"/>
  <c r="AT164" i="11"/>
  <c r="AV164" i="11"/>
  <c r="AW164" i="11"/>
  <c r="AS165" i="11"/>
  <c r="AU165" i="11"/>
  <c r="AT165" i="11"/>
  <c r="AV165" i="11"/>
  <c r="AW165" i="11"/>
  <c r="AS166" i="11"/>
  <c r="AT166" i="11"/>
  <c r="AU166" i="11"/>
  <c r="AV166" i="11"/>
  <c r="AW166" i="11"/>
  <c r="AS167" i="11"/>
  <c r="AT167" i="11"/>
  <c r="AU167" i="11"/>
  <c r="AV167" i="11"/>
  <c r="AW167" i="11"/>
  <c r="AS168" i="11"/>
  <c r="AU168" i="11"/>
  <c r="AT168" i="11"/>
  <c r="AV168" i="11"/>
  <c r="AW168" i="11"/>
  <c r="AS169" i="11"/>
  <c r="AT169" i="11"/>
  <c r="AU169" i="11"/>
  <c r="AV169" i="11"/>
  <c r="AW169" i="11"/>
  <c r="AS170" i="11"/>
  <c r="AU170" i="11"/>
  <c r="AT170" i="11"/>
  <c r="AV170" i="11"/>
  <c r="AW170" i="11"/>
  <c r="AS171" i="11"/>
  <c r="AU171" i="11"/>
  <c r="AT171" i="11"/>
  <c r="AV171" i="11"/>
  <c r="AW171" i="11"/>
  <c r="AS172" i="11"/>
  <c r="AU172" i="11"/>
  <c r="AT172" i="11"/>
  <c r="AV172" i="11"/>
  <c r="AW172" i="11"/>
  <c r="AS173" i="11"/>
  <c r="AT173" i="11"/>
  <c r="AU173" i="11"/>
  <c r="AV173" i="11"/>
  <c r="AW173" i="11"/>
  <c r="AS174" i="11"/>
  <c r="AT174" i="11"/>
  <c r="AU174" i="11"/>
  <c r="AV174" i="11"/>
  <c r="AW174" i="11"/>
  <c r="AS175" i="11"/>
  <c r="AT175" i="11"/>
  <c r="AU175" i="11"/>
  <c r="AV175" i="11"/>
  <c r="AW175" i="11"/>
  <c r="AS176" i="11"/>
  <c r="AT176" i="11"/>
  <c r="AU176" i="11"/>
  <c r="AV176" i="11"/>
  <c r="AW176" i="11"/>
  <c r="AS177" i="11"/>
  <c r="AT177" i="11"/>
  <c r="AU177" i="11"/>
  <c r="AV177" i="11"/>
  <c r="AW177" i="11"/>
  <c r="AS178" i="11"/>
  <c r="AU178" i="11"/>
  <c r="AT178" i="11"/>
  <c r="AV178" i="11"/>
  <c r="AW178" i="11"/>
  <c r="AS179" i="11"/>
  <c r="AT179" i="11"/>
  <c r="AU179" i="11"/>
  <c r="AV179" i="11"/>
  <c r="AW179" i="11"/>
  <c r="AS180" i="11"/>
  <c r="AT180" i="11"/>
  <c r="AU180" i="11"/>
  <c r="AV180" i="11"/>
  <c r="AW180" i="11"/>
  <c r="AS181" i="11"/>
  <c r="AT181" i="11"/>
  <c r="AU181" i="11"/>
  <c r="AV181" i="11"/>
  <c r="AW181" i="11"/>
  <c r="AS182" i="11"/>
  <c r="AT182" i="11"/>
  <c r="AU182" i="11"/>
  <c r="AV182" i="11"/>
  <c r="AW182" i="11"/>
  <c r="AS183" i="11"/>
  <c r="AU183" i="11"/>
  <c r="AT183" i="11"/>
  <c r="AV183" i="11"/>
  <c r="AW183" i="11"/>
  <c r="AS184" i="11"/>
  <c r="AU184" i="11"/>
  <c r="AT184" i="11"/>
  <c r="AV184" i="11"/>
  <c r="AW184" i="11"/>
  <c r="AS185" i="11"/>
  <c r="AU185" i="11"/>
  <c r="AT185" i="11"/>
  <c r="AV185" i="11"/>
  <c r="AW185" i="11"/>
  <c r="AS186" i="11"/>
  <c r="AU186" i="11"/>
  <c r="AT186" i="11"/>
  <c r="AV186" i="11"/>
  <c r="AW186" i="11"/>
  <c r="AS187" i="11"/>
  <c r="AU187" i="11"/>
  <c r="AT187" i="11"/>
  <c r="AV187" i="11"/>
  <c r="AW187" i="11"/>
  <c r="AS188" i="11"/>
  <c r="AU188" i="11"/>
  <c r="AT188" i="11"/>
  <c r="AV188" i="11"/>
  <c r="AW188" i="11"/>
  <c r="AS189" i="11"/>
  <c r="AU189" i="11"/>
  <c r="AT189" i="11"/>
  <c r="AV189" i="11"/>
  <c r="AW189" i="11"/>
  <c r="AS190" i="11"/>
  <c r="AT190" i="11"/>
  <c r="AU190" i="11"/>
  <c r="AV190" i="11"/>
  <c r="AW190" i="11"/>
  <c r="AS191" i="11"/>
  <c r="AU191" i="11"/>
  <c r="AT191" i="11"/>
  <c r="AV191" i="11"/>
  <c r="AW191" i="11"/>
  <c r="AS192" i="11"/>
  <c r="AT192" i="11"/>
  <c r="AU192" i="11"/>
  <c r="AV192" i="11"/>
  <c r="AW192" i="11"/>
  <c r="AS193" i="11"/>
  <c r="AT193" i="11"/>
  <c r="AU193" i="11"/>
  <c r="AV193" i="11"/>
  <c r="AW193" i="11"/>
  <c r="AS194" i="11"/>
  <c r="AU194" i="11"/>
  <c r="AT194" i="11"/>
  <c r="AV194" i="11"/>
  <c r="AW194" i="11"/>
  <c r="AS195" i="11"/>
  <c r="AU195" i="11"/>
  <c r="AT195" i="11"/>
  <c r="AV195" i="11"/>
  <c r="AW195" i="11"/>
  <c r="AS196" i="11"/>
  <c r="AT196" i="11"/>
  <c r="AU196" i="11"/>
  <c r="AV196" i="11"/>
  <c r="AW196" i="11"/>
  <c r="AS197" i="11"/>
  <c r="AU197" i="11"/>
  <c r="AT197" i="11"/>
  <c r="AV197" i="11"/>
  <c r="AW197" i="11"/>
  <c r="AS198" i="11"/>
  <c r="AU198" i="11"/>
  <c r="AT198" i="11"/>
  <c r="AV198" i="11"/>
  <c r="AW198" i="11"/>
  <c r="AS199" i="11"/>
  <c r="AU199" i="11"/>
  <c r="AT199" i="11"/>
  <c r="AV199" i="11"/>
  <c r="AW199" i="11"/>
  <c r="AS200" i="11"/>
  <c r="AU200" i="11"/>
  <c r="AT200" i="11"/>
  <c r="AV200" i="11"/>
  <c r="AW200" i="11"/>
  <c r="AS201" i="11"/>
  <c r="AT201" i="11"/>
  <c r="AU201" i="11"/>
  <c r="AV201" i="11"/>
  <c r="AW201" i="11"/>
  <c r="AS202" i="11"/>
  <c r="AU202" i="11"/>
  <c r="AT202" i="11"/>
  <c r="AV202" i="11"/>
  <c r="AW202" i="11"/>
  <c r="AS203" i="11"/>
  <c r="AU203" i="11"/>
  <c r="AT203" i="11"/>
  <c r="AV203" i="11"/>
  <c r="AW203" i="11"/>
  <c r="AS204" i="11"/>
  <c r="AU204" i="11"/>
  <c r="AT204" i="11"/>
  <c r="AV204" i="11"/>
  <c r="AW204" i="11"/>
  <c r="AS205" i="11"/>
  <c r="AT205" i="11"/>
  <c r="AU205" i="11"/>
  <c r="AV205" i="11"/>
  <c r="AW205" i="11"/>
  <c r="AS206" i="11"/>
  <c r="AU206" i="11"/>
  <c r="AT206" i="11"/>
  <c r="AV206" i="11"/>
  <c r="AW206" i="11"/>
  <c r="AS207" i="11"/>
  <c r="AU207" i="11"/>
  <c r="AT207" i="11"/>
  <c r="AV207" i="11"/>
  <c r="AW207" i="11"/>
  <c r="AS208" i="11"/>
  <c r="AU208" i="11"/>
  <c r="AT208" i="11"/>
  <c r="AV208" i="11"/>
  <c r="AW208" i="11"/>
  <c r="AS209" i="11"/>
  <c r="AU209" i="11"/>
  <c r="AT209" i="11"/>
  <c r="AV209" i="11"/>
  <c r="AW209" i="11"/>
  <c r="AS210" i="11"/>
  <c r="AT210" i="11"/>
  <c r="AU210" i="11"/>
  <c r="AV210" i="11"/>
  <c r="AW210" i="11"/>
  <c r="AS211" i="11"/>
  <c r="AU211" i="11"/>
  <c r="AT211" i="11"/>
  <c r="AV211" i="11"/>
  <c r="AW211" i="11"/>
  <c r="AS212" i="11"/>
  <c r="AU212" i="11"/>
  <c r="AT212" i="11"/>
  <c r="AV212" i="11"/>
  <c r="AW212" i="11"/>
  <c r="AS213" i="11"/>
  <c r="AU213" i="11"/>
  <c r="AT213" i="11"/>
  <c r="AV213" i="11"/>
  <c r="AW213" i="11"/>
  <c r="AS214" i="11"/>
  <c r="AU214" i="11"/>
  <c r="AT214" i="11"/>
  <c r="AV214" i="11"/>
  <c r="AW214" i="11"/>
  <c r="AS215" i="11"/>
  <c r="AU215" i="11"/>
  <c r="AT215" i="11"/>
  <c r="AV215" i="11"/>
  <c r="AW215" i="11"/>
  <c r="AS216" i="11"/>
  <c r="AT216" i="11"/>
  <c r="AU216" i="11"/>
  <c r="AV216" i="11"/>
  <c r="AW216" i="11"/>
  <c r="AS217" i="11"/>
  <c r="AU217" i="11"/>
  <c r="AT217" i="11"/>
  <c r="AV217" i="11"/>
  <c r="AW217" i="11"/>
  <c r="AS218" i="11"/>
  <c r="AT218" i="11"/>
  <c r="AU218" i="11"/>
  <c r="AV218" i="11"/>
  <c r="AW218" i="11"/>
  <c r="AS219" i="11"/>
  <c r="AU219" i="11"/>
  <c r="AT219" i="11"/>
  <c r="AV219" i="11"/>
  <c r="AW219" i="11"/>
  <c r="AS220" i="11"/>
  <c r="AU220" i="11"/>
  <c r="AT220" i="11"/>
  <c r="AV220" i="11"/>
  <c r="AW220" i="11"/>
  <c r="AS221" i="11"/>
  <c r="AU221" i="11"/>
  <c r="AT221" i="11"/>
  <c r="AV221" i="11"/>
  <c r="AW221" i="11"/>
  <c r="AS222" i="11"/>
  <c r="AU222" i="11"/>
  <c r="AT222" i="11"/>
  <c r="AV222" i="11"/>
  <c r="AW222" i="11"/>
  <c r="AS223" i="11"/>
  <c r="AU223" i="11"/>
  <c r="AT223" i="11"/>
  <c r="AV223" i="11"/>
  <c r="AW223" i="11"/>
  <c r="AS224" i="11"/>
  <c r="AT224" i="11"/>
  <c r="AU224" i="11"/>
  <c r="AV224" i="11"/>
  <c r="AW224" i="11"/>
  <c r="AS225" i="11"/>
  <c r="AT225" i="11"/>
  <c r="AU225" i="11"/>
  <c r="AV225" i="11"/>
  <c r="AW225" i="11"/>
  <c r="AS226" i="11"/>
  <c r="AT226" i="11"/>
  <c r="AU226" i="11"/>
  <c r="AV226" i="11"/>
  <c r="AW226" i="11"/>
  <c r="AS227" i="11"/>
  <c r="AU227" i="11"/>
  <c r="AT227" i="11"/>
  <c r="AV227" i="11"/>
  <c r="AW227" i="11"/>
  <c r="AS228" i="11"/>
  <c r="AU228" i="11"/>
  <c r="AT228" i="11"/>
  <c r="AV228" i="11"/>
  <c r="AW228" i="11"/>
  <c r="AS229" i="11"/>
  <c r="AT229" i="11"/>
  <c r="AU229" i="11"/>
  <c r="AV229" i="11"/>
  <c r="AW229" i="11"/>
  <c r="AS230" i="11"/>
  <c r="AT230" i="11"/>
  <c r="AU230" i="11"/>
  <c r="AV230" i="11"/>
  <c r="AW230" i="11"/>
  <c r="AS231" i="11"/>
  <c r="AU231" i="11"/>
  <c r="AT231" i="11"/>
  <c r="AV231" i="11"/>
  <c r="AW231" i="11"/>
  <c r="AS232" i="11"/>
  <c r="AU232" i="11"/>
  <c r="AT232" i="11"/>
  <c r="AV232" i="11"/>
  <c r="AW232" i="11"/>
  <c r="AS233" i="11"/>
  <c r="AU233" i="11"/>
  <c r="AT233" i="11"/>
  <c r="AV233" i="11"/>
  <c r="AW233" i="11"/>
  <c r="AS234" i="11"/>
  <c r="AU234" i="11"/>
  <c r="AT234" i="11"/>
  <c r="AV234" i="11"/>
  <c r="AW234" i="11"/>
  <c r="AS235" i="11"/>
  <c r="AT235" i="11"/>
  <c r="AU235" i="11"/>
  <c r="AV235" i="11"/>
  <c r="AW235" i="11"/>
  <c r="AS236" i="11"/>
  <c r="AT236" i="11"/>
  <c r="AU236" i="11"/>
  <c r="AV236" i="11"/>
  <c r="AW236" i="11"/>
  <c r="AS237" i="11"/>
  <c r="AU237" i="11"/>
  <c r="AT237" i="11"/>
  <c r="AV237" i="11"/>
  <c r="AW237" i="11"/>
  <c r="AS238" i="11"/>
  <c r="AT238" i="11"/>
  <c r="AU238" i="11"/>
  <c r="AV238" i="11"/>
  <c r="AW238" i="11"/>
  <c r="AS239" i="11"/>
  <c r="AT239" i="11"/>
  <c r="AU239" i="11"/>
  <c r="AV239" i="11"/>
  <c r="AW239" i="11"/>
  <c r="AS240" i="11"/>
  <c r="AT240" i="11"/>
  <c r="AU240" i="11"/>
  <c r="AV240" i="11"/>
  <c r="AW240" i="11"/>
  <c r="AS241" i="11"/>
  <c r="AT241" i="11"/>
  <c r="AU241" i="11"/>
  <c r="AV241" i="11"/>
  <c r="AW241" i="11"/>
  <c r="AS242" i="11"/>
  <c r="AT242" i="11"/>
  <c r="AU242" i="11"/>
  <c r="AV242" i="11"/>
  <c r="AW242" i="11"/>
  <c r="AS243" i="11"/>
  <c r="AU243" i="11"/>
  <c r="AT243" i="11"/>
  <c r="AV243" i="11"/>
  <c r="AW243" i="11"/>
  <c r="AS244" i="11"/>
  <c r="AU244" i="11"/>
  <c r="AT244" i="11"/>
  <c r="AV244" i="11"/>
  <c r="AW244" i="11"/>
  <c r="AS245" i="11"/>
  <c r="AT245" i="11"/>
  <c r="AU245" i="11"/>
  <c r="AV245" i="11"/>
  <c r="AW245" i="11"/>
  <c r="AS246" i="11"/>
  <c r="AU246" i="11"/>
  <c r="AT246" i="11"/>
  <c r="AV246" i="11"/>
  <c r="AW246" i="11"/>
  <c r="AS247" i="11"/>
  <c r="AU247" i="11"/>
  <c r="AT247" i="11"/>
  <c r="AV247" i="11"/>
  <c r="AW247" i="11"/>
  <c r="AS248" i="11"/>
  <c r="AU248" i="11"/>
  <c r="AT248" i="11"/>
  <c r="AV248" i="11"/>
  <c r="AW248" i="11"/>
  <c r="AS249" i="11"/>
  <c r="AU249" i="11"/>
  <c r="AT249" i="11"/>
  <c r="AV249" i="11"/>
  <c r="AW249" i="11"/>
  <c r="AS250" i="11"/>
  <c r="AU250" i="11"/>
  <c r="AT250" i="11"/>
  <c r="AV250" i="11"/>
  <c r="AW250" i="11"/>
  <c r="AS251" i="11"/>
  <c r="AU251" i="11"/>
  <c r="AT251" i="11"/>
  <c r="AV251" i="11"/>
  <c r="AW251" i="11"/>
  <c r="AS252" i="11"/>
  <c r="AT252" i="11"/>
  <c r="AU252" i="11"/>
  <c r="AV252" i="11"/>
  <c r="AW252" i="11"/>
  <c r="AS253" i="11"/>
  <c r="AU253" i="11"/>
  <c r="AT253" i="11"/>
  <c r="AV253" i="11"/>
  <c r="AW253" i="11"/>
  <c r="AS254" i="11"/>
  <c r="AU254" i="11"/>
  <c r="AT254" i="11"/>
  <c r="AV254" i="11"/>
  <c r="AW254" i="11"/>
  <c r="AS255" i="11"/>
  <c r="AT255" i="11"/>
  <c r="AU255" i="11"/>
  <c r="AV255" i="11"/>
  <c r="AW255" i="11"/>
  <c r="AS256" i="11"/>
  <c r="AU256" i="11"/>
  <c r="AT256" i="11"/>
  <c r="AV256" i="11"/>
  <c r="AW256" i="11"/>
  <c r="AS257" i="11"/>
  <c r="AU257" i="11"/>
  <c r="AT257" i="11"/>
  <c r="AV257" i="11"/>
  <c r="AW257" i="11"/>
  <c r="AS258" i="11"/>
  <c r="AU258" i="11"/>
  <c r="AT258" i="11"/>
  <c r="AV258" i="11"/>
  <c r="AW258" i="11"/>
  <c r="AS259" i="11"/>
  <c r="AU259" i="11"/>
  <c r="AT259" i="11"/>
  <c r="AV259" i="11"/>
  <c r="AW259" i="11"/>
  <c r="AS260" i="11"/>
  <c r="AU260" i="11"/>
  <c r="AT260" i="11"/>
  <c r="AV260" i="11"/>
  <c r="AW260" i="11"/>
  <c r="AS261" i="11"/>
  <c r="AT261" i="11"/>
  <c r="AU261" i="11"/>
  <c r="AV261" i="11"/>
  <c r="AW261" i="11"/>
  <c r="AS262" i="11"/>
  <c r="AU262" i="11"/>
  <c r="AT262" i="11"/>
  <c r="AV262" i="11"/>
  <c r="AW262" i="11"/>
  <c r="AS263" i="11"/>
  <c r="AU263" i="11"/>
  <c r="AT263" i="11"/>
  <c r="AV263" i="11"/>
  <c r="AW263" i="11"/>
  <c r="AS264" i="11"/>
  <c r="AU264" i="11"/>
  <c r="AT264" i="11"/>
  <c r="AV264" i="11"/>
  <c r="AW264" i="11"/>
  <c r="AS265" i="11"/>
  <c r="AU265" i="11"/>
  <c r="AT265" i="11"/>
  <c r="AV265" i="11"/>
  <c r="AW265" i="11"/>
  <c r="AS266" i="11"/>
  <c r="AU266" i="11"/>
  <c r="AT266" i="11"/>
  <c r="AV266" i="11"/>
  <c r="AW266" i="11"/>
  <c r="AS267" i="11"/>
  <c r="AU267" i="11"/>
  <c r="AT267" i="11"/>
  <c r="AV267" i="11"/>
  <c r="AW267" i="11"/>
  <c r="AS268" i="11"/>
  <c r="AU268" i="11"/>
  <c r="AT268" i="11"/>
  <c r="AV268" i="11"/>
  <c r="AW268" i="11"/>
  <c r="AS269" i="11"/>
  <c r="AT269" i="11"/>
  <c r="AU269" i="11"/>
  <c r="AV269" i="11"/>
  <c r="AW269" i="11"/>
  <c r="AS270" i="11"/>
  <c r="AU270" i="11"/>
  <c r="AT270" i="11"/>
  <c r="AV270" i="11"/>
  <c r="AW270" i="11"/>
  <c r="AS271" i="11"/>
  <c r="AU271" i="11"/>
  <c r="AT271" i="11"/>
  <c r="AV271" i="11"/>
  <c r="AW271" i="11"/>
  <c r="AS272" i="11"/>
  <c r="AU272" i="11"/>
  <c r="AT272" i="11"/>
  <c r="AV272" i="11"/>
  <c r="AW272" i="11"/>
  <c r="AS273" i="11"/>
  <c r="AU273" i="11"/>
  <c r="AT273" i="11"/>
  <c r="AV273" i="11"/>
  <c r="AW273" i="11"/>
  <c r="AS274" i="11"/>
  <c r="AU274" i="11"/>
  <c r="AT274" i="11"/>
  <c r="AV274" i="11"/>
  <c r="AW274" i="11"/>
  <c r="AS275" i="11"/>
  <c r="AU275" i="11"/>
  <c r="AT275" i="11"/>
  <c r="AV275" i="11"/>
  <c r="AW275" i="11"/>
  <c r="AS276" i="11"/>
  <c r="AU276" i="11"/>
  <c r="AT276" i="11"/>
  <c r="AV276" i="11"/>
  <c r="AW276" i="11"/>
  <c r="AS277" i="11"/>
  <c r="AU277" i="11"/>
  <c r="AT277" i="11"/>
  <c r="AV277" i="11"/>
  <c r="AW277" i="11"/>
  <c r="AS278" i="11"/>
  <c r="AT278" i="11"/>
  <c r="AU278" i="11"/>
  <c r="AV278" i="11"/>
  <c r="AW278" i="11"/>
  <c r="AS279" i="11"/>
  <c r="AU279" i="11"/>
  <c r="AT279" i="11"/>
  <c r="AV279" i="11"/>
  <c r="AW279" i="11"/>
  <c r="AS280" i="11"/>
  <c r="AU280" i="11"/>
  <c r="AT280" i="11"/>
  <c r="AV280" i="11"/>
  <c r="AW280" i="11"/>
  <c r="AS281" i="11"/>
  <c r="AT281" i="11"/>
  <c r="AU281" i="11"/>
  <c r="AV281" i="11"/>
  <c r="AW281" i="11"/>
  <c r="AS282" i="11"/>
  <c r="AT282" i="11"/>
  <c r="AU282" i="11"/>
  <c r="AV282" i="11"/>
  <c r="AW282" i="11"/>
  <c r="AS283" i="11"/>
  <c r="AU283" i="11"/>
  <c r="AT283" i="11"/>
  <c r="AV283" i="11"/>
  <c r="AW283" i="11"/>
  <c r="AS284" i="11"/>
  <c r="AU284" i="11"/>
  <c r="AT284" i="11"/>
  <c r="AV284" i="11"/>
  <c r="AW284" i="11"/>
  <c r="AS285" i="11"/>
  <c r="AU285" i="11"/>
  <c r="AT285" i="11"/>
  <c r="AV285" i="11"/>
  <c r="AW285" i="11"/>
  <c r="AS286" i="11"/>
  <c r="AU286" i="11"/>
  <c r="AT286" i="11"/>
  <c r="AV286" i="11"/>
  <c r="AW286" i="11"/>
  <c r="AS287" i="11"/>
  <c r="AU287" i="11"/>
  <c r="AT287" i="11"/>
  <c r="AV287" i="11"/>
  <c r="AW287" i="11"/>
  <c r="AS288" i="11"/>
  <c r="AU288" i="11"/>
  <c r="AT288" i="11"/>
  <c r="AV288" i="11"/>
  <c r="AW288" i="11"/>
  <c r="AS289" i="11"/>
  <c r="AU289" i="11"/>
  <c r="AT289" i="11"/>
  <c r="AV289" i="11"/>
  <c r="AW289" i="11"/>
  <c r="AS290" i="11"/>
  <c r="AU290" i="11"/>
  <c r="AT290" i="11"/>
  <c r="AV290" i="11"/>
  <c r="AW290" i="11"/>
  <c r="AS291" i="11"/>
  <c r="AU291" i="11"/>
  <c r="AT291" i="11"/>
  <c r="AV291" i="11"/>
  <c r="AW291" i="11"/>
  <c r="AS292" i="11"/>
  <c r="AU292" i="11"/>
  <c r="AT292" i="11"/>
  <c r="AV292" i="11"/>
  <c r="AW292" i="11"/>
  <c r="AS293" i="11"/>
  <c r="AT293" i="11"/>
  <c r="AU293" i="11"/>
  <c r="AV293" i="11"/>
  <c r="AW293" i="11"/>
  <c r="AS294" i="11"/>
  <c r="AU294" i="11"/>
  <c r="AT294" i="11"/>
  <c r="AV294" i="11"/>
  <c r="AW294" i="11"/>
  <c r="AS295" i="11"/>
  <c r="AU295" i="11"/>
  <c r="AT295" i="11"/>
  <c r="AV295" i="11"/>
  <c r="AW295" i="11"/>
  <c r="AS296" i="11"/>
  <c r="AU296" i="11"/>
  <c r="AT296" i="11"/>
  <c r="AV296" i="11"/>
  <c r="AW296" i="11"/>
  <c r="AS297" i="11"/>
  <c r="AT297" i="11"/>
  <c r="AU297" i="11"/>
  <c r="AV297" i="11"/>
  <c r="AW297" i="11"/>
  <c r="AS298" i="11"/>
  <c r="AT298" i="11"/>
  <c r="AU298" i="11"/>
  <c r="AV298" i="11"/>
  <c r="AW298" i="11"/>
  <c r="AS299" i="11"/>
  <c r="AU299" i="11"/>
  <c r="AT299" i="11"/>
  <c r="AV299" i="11"/>
  <c r="AW299" i="11"/>
  <c r="AS300" i="11"/>
  <c r="AU300" i="11"/>
  <c r="AT300" i="11"/>
  <c r="AV300" i="11"/>
  <c r="AW300" i="11"/>
  <c r="AS301" i="11"/>
  <c r="AU301" i="11"/>
  <c r="AT301" i="11"/>
  <c r="AV301" i="11"/>
  <c r="AW301" i="11"/>
  <c r="AS302" i="11"/>
  <c r="AU302" i="11"/>
  <c r="AT302" i="11"/>
  <c r="AV302" i="11"/>
  <c r="AW302" i="11"/>
  <c r="AS303" i="11"/>
  <c r="AU303" i="11"/>
  <c r="AT303" i="11"/>
  <c r="AV303" i="11"/>
  <c r="AW303" i="11"/>
  <c r="AS304" i="11"/>
  <c r="AU304" i="11"/>
  <c r="AT304" i="11"/>
  <c r="AV304" i="11"/>
  <c r="AW304" i="11"/>
  <c r="AS305" i="11"/>
  <c r="AT305" i="11"/>
  <c r="AU305" i="11"/>
  <c r="AV305" i="11"/>
  <c r="AW305" i="11"/>
  <c r="AS306" i="11"/>
  <c r="AT306" i="11"/>
  <c r="AU306" i="11"/>
  <c r="AV306" i="11"/>
  <c r="AW306" i="11"/>
  <c r="AS307" i="11"/>
  <c r="AU307" i="11"/>
  <c r="AT307" i="11"/>
  <c r="AV307" i="11"/>
  <c r="AW307" i="11"/>
  <c r="AS308" i="11"/>
  <c r="AT308" i="11"/>
  <c r="AU308" i="11"/>
  <c r="AV308" i="11"/>
  <c r="AW308" i="11"/>
  <c r="AS309" i="11"/>
  <c r="AT309" i="11"/>
  <c r="AU309" i="11"/>
  <c r="AV309" i="11"/>
  <c r="AW309" i="11"/>
  <c r="AS310" i="11"/>
  <c r="AT310" i="11"/>
  <c r="AU310" i="11"/>
  <c r="AV310" i="11"/>
  <c r="AW310" i="11"/>
  <c r="AS311" i="11"/>
  <c r="AU311" i="11"/>
  <c r="AT311" i="11"/>
  <c r="AV311" i="11"/>
  <c r="AW311" i="11"/>
  <c r="AS312" i="11"/>
  <c r="AU312" i="11"/>
  <c r="AT312" i="11"/>
  <c r="AV312" i="11"/>
  <c r="AW312" i="11"/>
  <c r="AS313" i="11"/>
  <c r="AU313" i="11"/>
  <c r="AT313" i="11"/>
  <c r="AV313" i="11"/>
  <c r="AW313" i="11"/>
  <c r="AS314" i="11"/>
  <c r="AT314" i="11"/>
  <c r="AU314" i="11"/>
  <c r="AV314" i="11"/>
  <c r="AW314" i="11"/>
  <c r="AS315" i="11"/>
  <c r="AU315" i="11"/>
  <c r="AT315" i="11"/>
  <c r="AV315" i="11"/>
  <c r="AW315" i="11"/>
  <c r="AS316" i="11"/>
  <c r="AU316" i="11"/>
  <c r="AT316" i="11"/>
  <c r="AV316" i="11"/>
  <c r="AW316" i="11"/>
  <c r="AS317" i="11"/>
  <c r="AU317" i="11"/>
  <c r="AT317" i="11"/>
  <c r="AV317" i="11"/>
  <c r="AW317" i="11"/>
  <c r="AS318" i="11"/>
  <c r="AT318" i="11"/>
  <c r="AU318" i="11"/>
  <c r="AV318" i="11"/>
  <c r="AW318" i="11"/>
  <c r="AS319" i="11"/>
  <c r="AU319" i="11"/>
  <c r="AT319" i="11"/>
  <c r="AV319" i="11"/>
  <c r="AW319" i="11"/>
  <c r="AS320" i="11"/>
  <c r="AU320" i="11"/>
  <c r="AT320" i="11"/>
  <c r="AV320" i="11"/>
  <c r="AW320" i="11"/>
  <c r="AS321" i="11"/>
  <c r="AU321" i="11"/>
  <c r="AT321" i="11"/>
  <c r="AV321" i="11"/>
  <c r="AW321" i="11"/>
  <c r="AS322" i="11"/>
  <c r="AU322" i="11"/>
  <c r="AT322" i="11"/>
  <c r="AV322" i="11"/>
  <c r="AW322" i="11"/>
  <c r="AS323" i="11"/>
  <c r="AU323" i="11"/>
  <c r="AT323" i="11"/>
  <c r="AV323" i="11"/>
  <c r="AW323" i="11"/>
  <c r="AS324" i="11"/>
  <c r="AT324" i="11"/>
  <c r="AU324" i="11"/>
  <c r="AV324" i="11"/>
  <c r="AW324" i="11"/>
  <c r="AS325" i="11"/>
  <c r="AT325" i="11"/>
  <c r="AU325" i="11"/>
  <c r="AV325" i="11"/>
  <c r="AW325" i="11"/>
  <c r="AS326" i="11"/>
  <c r="AT326" i="11"/>
  <c r="AU326" i="11"/>
  <c r="AV326" i="11"/>
  <c r="AW326" i="11"/>
  <c r="AS327" i="11"/>
  <c r="AU327" i="11"/>
  <c r="AT327" i="11"/>
  <c r="AV327" i="11"/>
  <c r="AW327" i="11"/>
  <c r="AS328" i="11"/>
  <c r="AU328" i="11"/>
  <c r="AT328" i="11"/>
  <c r="AV328" i="11"/>
  <c r="AW328" i="11"/>
  <c r="AS329" i="11"/>
  <c r="AT329" i="11"/>
  <c r="AU329" i="11"/>
  <c r="AV329" i="11"/>
  <c r="AW329" i="11"/>
  <c r="AS330" i="11"/>
  <c r="AT330" i="11"/>
  <c r="AU330" i="11"/>
  <c r="AV330" i="11"/>
  <c r="AW330" i="11"/>
  <c r="AS331" i="11"/>
  <c r="AT331" i="11"/>
  <c r="AU331" i="11"/>
  <c r="AV331" i="11"/>
  <c r="AW331" i="11"/>
  <c r="AS332" i="11"/>
  <c r="AU332" i="11"/>
  <c r="AT332" i="11"/>
  <c r="AV332" i="11"/>
  <c r="AW332" i="11"/>
  <c r="AS333" i="11"/>
  <c r="AU333" i="11"/>
  <c r="AT333" i="11"/>
  <c r="AV333" i="11"/>
  <c r="AW333" i="11"/>
  <c r="AS334" i="11"/>
  <c r="AU334" i="11"/>
  <c r="AT334" i="11"/>
  <c r="AV334" i="11"/>
  <c r="AW334" i="11"/>
  <c r="AS335" i="11"/>
  <c r="AU335" i="11"/>
  <c r="AT335" i="11"/>
  <c r="AV335" i="11"/>
  <c r="AW335" i="11"/>
  <c r="AS336" i="11"/>
  <c r="AU336" i="11"/>
  <c r="AT336" i="11"/>
  <c r="AV336" i="11"/>
  <c r="AW336" i="11"/>
  <c r="AS337" i="11"/>
  <c r="AU337" i="11"/>
  <c r="AT337" i="11"/>
  <c r="AV337" i="11"/>
  <c r="AW337" i="11"/>
  <c r="AS338" i="11"/>
  <c r="AU338" i="11"/>
  <c r="AT338" i="11"/>
  <c r="AV338" i="11"/>
  <c r="AW338" i="11"/>
  <c r="AS339" i="11"/>
  <c r="AU339" i="11"/>
  <c r="AT339" i="11"/>
  <c r="AV339" i="11"/>
  <c r="AW339" i="11"/>
  <c r="AS340" i="11"/>
  <c r="AU340" i="11"/>
  <c r="AT340" i="11"/>
  <c r="AV340" i="11"/>
  <c r="AW340" i="11"/>
  <c r="AS341" i="11"/>
  <c r="AT341" i="11"/>
  <c r="AU341" i="11"/>
  <c r="AV341" i="11"/>
  <c r="AW341" i="11"/>
  <c r="AS342" i="11"/>
  <c r="AU342" i="11"/>
  <c r="AT342" i="11"/>
  <c r="AV342" i="11"/>
  <c r="AW342" i="11"/>
  <c r="AS343" i="11"/>
  <c r="AU343" i="11"/>
  <c r="AT343" i="11"/>
  <c r="AV343" i="11"/>
  <c r="AW343" i="11"/>
  <c r="AS344" i="11"/>
  <c r="AU344" i="11"/>
  <c r="AT344" i="11"/>
  <c r="AV344" i="11"/>
  <c r="AW344" i="11"/>
  <c r="AS345" i="11"/>
  <c r="AU345" i="11"/>
  <c r="AT345" i="11"/>
  <c r="AV345" i="11"/>
  <c r="AW345" i="11"/>
  <c r="AS346" i="11"/>
  <c r="AT346" i="11"/>
  <c r="AU346" i="11"/>
  <c r="AV346" i="11"/>
  <c r="AW346" i="11"/>
  <c r="AS347" i="11"/>
  <c r="AU347" i="11"/>
  <c r="AT347" i="11"/>
  <c r="AV347" i="11"/>
  <c r="AW347" i="11"/>
  <c r="AS348" i="11"/>
  <c r="AU348" i="11"/>
  <c r="AT348" i="11"/>
  <c r="AV348" i="11"/>
  <c r="AW348" i="11"/>
  <c r="AS349" i="11"/>
  <c r="AU349" i="11"/>
  <c r="AT349" i="11"/>
  <c r="AV349" i="11"/>
  <c r="AW349" i="11"/>
  <c r="AS350" i="11"/>
  <c r="AU350" i="11"/>
  <c r="AT350" i="11"/>
  <c r="AV350" i="11"/>
  <c r="AW350" i="11"/>
  <c r="AS351" i="11"/>
  <c r="AT351" i="11"/>
  <c r="AU351" i="11"/>
  <c r="AV351" i="11"/>
  <c r="AW351" i="11"/>
  <c r="AS352" i="11"/>
  <c r="AU352" i="11"/>
  <c r="AT352" i="11"/>
  <c r="AV352" i="11"/>
  <c r="AW352" i="11"/>
  <c r="AS353" i="11"/>
  <c r="AU353" i="11"/>
  <c r="AT353" i="11"/>
  <c r="AV353" i="11"/>
  <c r="AW353" i="11"/>
  <c r="AS354" i="11"/>
  <c r="AT354" i="11"/>
  <c r="AU354" i="11"/>
  <c r="AV354" i="11"/>
  <c r="AW354" i="11"/>
  <c r="AS355" i="11"/>
  <c r="AU355" i="11"/>
  <c r="AT355" i="11"/>
  <c r="AV355" i="11"/>
  <c r="AW355" i="11"/>
  <c r="AS356" i="11"/>
  <c r="AU356" i="11"/>
  <c r="AT356" i="11"/>
  <c r="AV356" i="11"/>
  <c r="AW356" i="11"/>
  <c r="AS357" i="11"/>
  <c r="AU357" i="11"/>
  <c r="AT357" i="11"/>
  <c r="AV357" i="11"/>
  <c r="AW357" i="11"/>
  <c r="AS358" i="11"/>
  <c r="AU358" i="11"/>
  <c r="AT358" i="11"/>
  <c r="AV358" i="11"/>
  <c r="AW358" i="11"/>
  <c r="AS359" i="11"/>
  <c r="AU359" i="11"/>
  <c r="AT359" i="11"/>
  <c r="AV359" i="11"/>
  <c r="AW359" i="11"/>
  <c r="AS360" i="11"/>
  <c r="AT360" i="11"/>
  <c r="AU360" i="11"/>
  <c r="AV360" i="11"/>
  <c r="AW360" i="11"/>
  <c r="AS361" i="11"/>
  <c r="AU361" i="11"/>
  <c r="AT361" i="11"/>
  <c r="AW5" i="11"/>
  <c r="AW6" i="11"/>
  <c r="AW7" i="11"/>
  <c r="AW8" i="11"/>
  <c r="AW9" i="11"/>
  <c r="AW10" i="11"/>
  <c r="AW11" i="11"/>
  <c r="AW12" i="11"/>
  <c r="AW13" i="11"/>
  <c r="AW14" i="11"/>
  <c r="AW15" i="11"/>
  <c r="AV5" i="11"/>
  <c r="AV6" i="11"/>
  <c r="AV7" i="11"/>
  <c r="AV8" i="11"/>
  <c r="AV9" i="11"/>
  <c r="AV10" i="11"/>
  <c r="AV11" i="11"/>
  <c r="AV12" i="11"/>
  <c r="AV13" i="11"/>
  <c r="AV14" i="11"/>
  <c r="AV15" i="11"/>
  <c r="AV361" i="11"/>
  <c r="AW361" i="11"/>
  <c r="AS362" i="11"/>
  <c r="AU362" i="11"/>
  <c r="AT362" i="11"/>
  <c r="AV362" i="11"/>
  <c r="AW362" i="11"/>
  <c r="AS363" i="11"/>
  <c r="AU363" i="11"/>
  <c r="AT363" i="11"/>
  <c r="AV363" i="11"/>
  <c r="AW363" i="11"/>
  <c r="AS364" i="11"/>
  <c r="AU364" i="11"/>
  <c r="K93" i="18"/>
  <c r="K92" i="18"/>
  <c r="AT364" i="11"/>
  <c r="AV364" i="11"/>
  <c r="AW364" i="11"/>
  <c r="AS365" i="11"/>
  <c r="K97" i="18"/>
  <c r="AU365" i="11"/>
  <c r="AT365" i="11"/>
  <c r="AV365" i="11"/>
  <c r="AW365" i="11"/>
  <c r="AS366" i="11"/>
  <c r="AU366" i="11"/>
  <c r="AT366" i="11"/>
  <c r="AV366" i="11"/>
  <c r="AW366" i="11"/>
  <c r="AS367" i="11"/>
  <c r="AU367" i="11"/>
  <c r="AT367" i="11"/>
  <c r="AV367" i="11"/>
  <c r="AW367" i="11"/>
  <c r="AS368" i="11"/>
  <c r="AT368" i="11"/>
  <c r="AU368" i="11"/>
  <c r="AV368" i="11"/>
  <c r="AW368" i="11"/>
  <c r="AS369" i="11"/>
  <c r="AT369" i="11"/>
  <c r="AU369" i="11"/>
  <c r="AV369" i="11"/>
  <c r="AW369" i="11"/>
  <c r="AS370" i="11"/>
  <c r="AU370" i="11"/>
  <c r="AT370" i="11"/>
  <c r="AV370" i="11"/>
  <c r="AW370" i="11"/>
  <c r="AS371" i="11"/>
  <c r="AU371" i="11"/>
  <c r="AT371" i="11"/>
  <c r="AV371" i="11"/>
  <c r="AW371" i="11"/>
  <c r="AS372" i="11"/>
  <c r="AT372" i="11"/>
  <c r="AU372" i="11"/>
  <c r="AV372" i="11"/>
  <c r="AW372" i="11"/>
  <c r="AS373" i="11"/>
  <c r="AU373" i="11"/>
  <c r="AT373" i="11"/>
  <c r="AV373" i="11"/>
  <c r="AW373" i="11"/>
  <c r="AS374" i="11"/>
  <c r="AU374" i="11"/>
  <c r="AT374" i="11"/>
  <c r="AV374" i="11"/>
  <c r="AW374" i="11"/>
  <c r="AS375" i="11"/>
  <c r="AU375" i="11"/>
  <c r="AT375" i="11"/>
  <c r="AV375" i="11"/>
  <c r="AW375" i="11"/>
  <c r="AS376" i="11"/>
  <c r="AT376" i="11"/>
  <c r="AU376" i="11"/>
  <c r="AV376" i="11"/>
  <c r="AW376" i="11"/>
  <c r="AS377" i="11"/>
  <c r="AU377" i="11"/>
  <c r="AT377" i="11"/>
  <c r="AV377" i="11"/>
  <c r="AW377" i="11"/>
  <c r="AS378" i="11"/>
  <c r="AU378" i="11"/>
  <c r="AT378" i="11"/>
  <c r="AV378" i="11"/>
  <c r="AW378" i="11"/>
  <c r="AS379" i="11"/>
  <c r="AU379" i="11"/>
  <c r="AT379" i="11"/>
  <c r="AV379" i="11"/>
  <c r="AW379" i="11"/>
  <c r="AS380" i="11"/>
  <c r="AU380" i="11"/>
  <c r="AT380" i="11"/>
  <c r="AV380" i="11"/>
  <c r="AW380" i="11"/>
  <c r="AS381" i="11"/>
  <c r="AU381" i="11"/>
  <c r="AT381" i="11"/>
  <c r="AV381" i="11"/>
  <c r="AW381" i="11"/>
  <c r="AS382" i="11"/>
  <c r="AU382" i="11"/>
  <c r="AT382" i="11"/>
  <c r="AV382" i="11"/>
  <c r="AW382" i="11"/>
  <c r="AS383" i="11"/>
  <c r="AT383" i="11"/>
  <c r="AU383" i="11"/>
  <c r="AV383" i="11"/>
  <c r="AW383" i="11"/>
  <c r="AS384" i="11"/>
  <c r="AU384" i="11"/>
  <c r="AT384" i="11"/>
  <c r="AV384" i="11"/>
  <c r="AW384" i="11"/>
  <c r="AS385" i="11"/>
  <c r="AT385" i="11"/>
  <c r="AU385" i="11"/>
  <c r="AV385" i="11"/>
  <c r="AW385" i="11"/>
  <c r="AS386" i="11"/>
  <c r="AU386" i="11"/>
  <c r="AT386" i="11"/>
  <c r="AV386" i="11"/>
  <c r="AW386" i="11"/>
  <c r="AS387" i="11"/>
  <c r="AU387" i="11"/>
  <c r="AT387" i="11"/>
  <c r="AV387" i="11"/>
  <c r="AW387" i="11"/>
  <c r="AS388" i="11"/>
  <c r="AT388" i="11"/>
  <c r="AU388" i="11"/>
  <c r="AV388" i="11"/>
  <c r="AW388" i="11"/>
  <c r="AS389" i="11"/>
  <c r="AU389" i="11"/>
  <c r="AT389" i="11"/>
  <c r="AV389" i="11"/>
  <c r="AW389" i="11"/>
  <c r="AS390" i="11"/>
  <c r="AU390" i="11"/>
  <c r="AT390" i="11"/>
  <c r="AV390" i="11"/>
  <c r="AW390" i="11"/>
  <c r="AS391" i="11"/>
  <c r="AU391" i="11"/>
  <c r="AT391" i="11"/>
  <c r="AV391" i="11"/>
  <c r="AW391" i="11"/>
  <c r="AS392" i="11"/>
  <c r="AT392" i="11"/>
  <c r="AU392" i="11"/>
  <c r="AV392" i="11"/>
  <c r="AW392" i="11"/>
  <c r="AS393" i="11"/>
  <c r="AU393" i="11"/>
  <c r="AT393" i="11"/>
  <c r="AV393" i="11"/>
  <c r="AW393" i="11"/>
  <c r="AS394" i="11"/>
  <c r="AU394" i="11"/>
  <c r="AT394" i="11"/>
  <c r="AV394" i="11"/>
  <c r="AW394" i="11"/>
  <c r="AS395" i="11"/>
  <c r="AU395" i="11"/>
  <c r="AT395" i="11"/>
  <c r="AV395" i="11"/>
  <c r="AW395" i="11"/>
  <c r="AS396" i="11"/>
  <c r="AU396" i="11"/>
  <c r="AT396" i="11"/>
  <c r="AV396" i="11"/>
  <c r="AW396" i="11"/>
  <c r="AS397" i="11"/>
  <c r="AU397" i="11"/>
  <c r="AT397" i="11"/>
  <c r="AV397" i="11"/>
  <c r="AW397" i="11"/>
  <c r="AS398" i="11"/>
  <c r="AT398" i="11"/>
  <c r="AU398" i="11"/>
  <c r="AV398" i="11"/>
  <c r="AW398" i="11"/>
  <c r="AS399" i="11"/>
  <c r="AU399" i="11"/>
  <c r="AT399" i="11"/>
  <c r="AV399" i="11"/>
  <c r="AW399" i="11"/>
  <c r="AS400" i="11"/>
  <c r="AU400" i="11"/>
  <c r="AT400" i="11"/>
  <c r="AV400" i="11"/>
  <c r="AW400" i="11"/>
  <c r="AS401" i="11"/>
  <c r="AU401" i="11"/>
  <c r="AT401" i="11"/>
  <c r="AV401" i="11"/>
  <c r="AW401" i="11"/>
  <c r="AS402" i="11"/>
  <c r="AT402" i="11"/>
  <c r="AU402" i="11"/>
  <c r="AV402" i="11"/>
  <c r="AW402" i="11"/>
  <c r="AS403" i="11"/>
  <c r="AU403" i="11"/>
  <c r="AT403" i="11"/>
  <c r="AV403" i="11"/>
  <c r="AW403" i="11"/>
  <c r="AS404" i="11"/>
  <c r="AU404" i="11"/>
  <c r="AT404" i="11"/>
  <c r="AV404" i="11"/>
  <c r="AW404" i="11"/>
  <c r="AS405" i="11"/>
  <c r="AU405" i="11"/>
  <c r="AT405" i="11"/>
  <c r="AV405" i="11"/>
  <c r="AW405" i="11"/>
  <c r="AS406" i="11"/>
  <c r="AU406" i="11"/>
  <c r="AT406" i="11"/>
  <c r="AV406" i="11"/>
  <c r="AW406" i="11"/>
  <c r="AS407" i="11"/>
  <c r="AU407" i="11"/>
  <c r="AT407" i="11"/>
  <c r="AV407" i="11"/>
  <c r="AW407" i="11"/>
  <c r="AS408" i="11"/>
  <c r="AU408" i="11"/>
  <c r="AT408" i="11"/>
  <c r="AV408" i="11"/>
  <c r="AW408" i="11"/>
  <c r="AS409" i="11"/>
  <c r="AT409" i="11"/>
  <c r="AU409" i="11"/>
  <c r="AV409" i="11"/>
  <c r="AW409" i="11"/>
  <c r="AS410" i="11"/>
  <c r="AU410" i="11"/>
  <c r="AT410" i="11"/>
  <c r="AV410" i="11"/>
  <c r="AW410" i="11"/>
  <c r="AS411" i="11"/>
  <c r="AU411" i="11"/>
  <c r="AT411" i="11"/>
  <c r="AV411" i="11"/>
  <c r="AW411" i="11"/>
  <c r="AS412" i="11"/>
  <c r="AU412" i="11"/>
  <c r="AT412" i="11"/>
  <c r="AV412" i="11"/>
  <c r="AW412" i="11"/>
  <c r="AS413" i="11"/>
  <c r="AU413" i="11"/>
  <c r="AT413" i="11"/>
  <c r="AV413" i="11"/>
  <c r="AW413" i="11"/>
  <c r="AS414" i="11"/>
  <c r="AT414" i="11"/>
  <c r="AU414" i="11"/>
  <c r="AV414" i="11"/>
  <c r="AW414" i="11"/>
  <c r="AS415" i="11"/>
  <c r="AU415" i="11"/>
  <c r="AT415" i="11"/>
  <c r="AV415" i="11"/>
  <c r="AW415" i="11"/>
  <c r="AS416" i="11"/>
  <c r="AU416" i="11"/>
  <c r="AT416" i="11"/>
  <c r="AV416" i="11"/>
  <c r="AW416" i="11"/>
  <c r="AS417" i="11"/>
  <c r="AU417" i="11"/>
  <c r="AT417" i="11"/>
  <c r="AV417" i="11"/>
  <c r="AW417" i="11"/>
  <c r="AS418" i="11"/>
  <c r="AT418" i="11"/>
  <c r="AU418" i="11"/>
  <c r="AV418" i="11"/>
  <c r="AW418" i="11"/>
  <c r="AS419" i="11"/>
  <c r="AU419" i="11"/>
  <c r="AT419" i="11"/>
  <c r="AV419" i="11"/>
  <c r="AW419" i="11"/>
  <c r="AS420" i="11"/>
  <c r="AU420" i="11"/>
  <c r="AA45" i="18"/>
  <c r="AA48" i="18"/>
  <c r="AT420" i="11"/>
  <c r="AV420" i="11"/>
  <c r="AW420" i="11"/>
  <c r="AS421" i="11"/>
  <c r="AU421" i="11"/>
  <c r="AC48" i="18"/>
  <c r="AC45" i="18"/>
  <c r="AC46" i="18"/>
  <c r="AT421" i="11"/>
  <c r="AV421" i="11"/>
  <c r="AW421" i="11"/>
  <c r="AS422" i="11"/>
  <c r="AU422" i="11"/>
  <c r="AT422" i="11"/>
  <c r="AV422" i="11"/>
  <c r="AW422" i="11"/>
  <c r="AS423" i="11"/>
  <c r="AU423" i="11"/>
  <c r="AT423" i="11"/>
  <c r="AV423" i="11"/>
  <c r="AW423" i="11"/>
  <c r="AS424" i="11"/>
  <c r="AU424" i="11"/>
  <c r="I92" i="18"/>
  <c r="I93" i="18"/>
  <c r="I97" i="18"/>
  <c r="AT424" i="11"/>
  <c r="AV424" i="11"/>
  <c r="AW424" i="11"/>
  <c r="AS425" i="11"/>
  <c r="AU425" i="11"/>
  <c r="AT425" i="11"/>
  <c r="AV425" i="11"/>
  <c r="AW425" i="11"/>
  <c r="AS426" i="11"/>
  <c r="AT426" i="11"/>
  <c r="AU426" i="11"/>
  <c r="AV426" i="11"/>
  <c r="AW426" i="11"/>
  <c r="AS427" i="11"/>
  <c r="AU427" i="11"/>
  <c r="AT427" i="11"/>
  <c r="AV427" i="11"/>
  <c r="AW427" i="11"/>
  <c r="AS428" i="11"/>
  <c r="AT428" i="11"/>
  <c r="AU428" i="11"/>
  <c r="AV428" i="11"/>
  <c r="AW428" i="11"/>
  <c r="AS429" i="11"/>
  <c r="AU429" i="11"/>
  <c r="AT429" i="11"/>
  <c r="AV429" i="11"/>
  <c r="AW429" i="11"/>
  <c r="AS430" i="11"/>
  <c r="H71" i="18"/>
  <c r="H72" i="18"/>
  <c r="J71" i="18"/>
  <c r="L71" i="18"/>
  <c r="N71" i="18"/>
  <c r="P71" i="18"/>
  <c r="R71" i="18"/>
  <c r="T71" i="18"/>
  <c r="V71" i="18"/>
  <c r="X71" i="18"/>
  <c r="Z71" i="18"/>
  <c r="AU430" i="11"/>
  <c r="AT430" i="11"/>
  <c r="AV430" i="11"/>
  <c r="AW430" i="11"/>
  <c r="AS431" i="11"/>
  <c r="AT431" i="11"/>
  <c r="O79" i="18"/>
  <c r="O84" i="18"/>
  <c r="O93" i="18"/>
  <c r="O97" i="18"/>
  <c r="AU431" i="11"/>
  <c r="AV431" i="11"/>
  <c r="AW431" i="11"/>
  <c r="AS432" i="11"/>
  <c r="O92" i="18"/>
  <c r="AU432" i="11"/>
  <c r="AT432" i="11"/>
  <c r="AV432" i="11"/>
  <c r="AW432" i="11"/>
  <c r="AS433" i="11"/>
  <c r="AU433" i="11"/>
  <c r="AT433" i="11"/>
  <c r="AV433" i="11"/>
  <c r="AW433" i="11"/>
  <c r="AS434" i="11"/>
  <c r="I68" i="18"/>
  <c r="I72" i="18"/>
  <c r="AU434" i="11"/>
  <c r="AT434" i="11"/>
  <c r="J68" i="18"/>
  <c r="J72" i="18"/>
  <c r="AV434" i="11"/>
  <c r="AW434" i="11"/>
  <c r="AS435" i="11"/>
  <c r="AU435" i="11"/>
  <c r="AT435" i="11"/>
  <c r="AV435" i="11"/>
  <c r="AW435" i="11"/>
  <c r="AS436" i="11"/>
  <c r="AT436" i="11"/>
  <c r="I96" i="18"/>
  <c r="AU436" i="11"/>
  <c r="AV436" i="11"/>
  <c r="AW436" i="11"/>
  <c r="AS437" i="11"/>
  <c r="AU437" i="11"/>
  <c r="AT437" i="11"/>
  <c r="AV437" i="11"/>
  <c r="AW437" i="11"/>
  <c r="AS438" i="11"/>
  <c r="AU438" i="11"/>
  <c r="AT438" i="11"/>
  <c r="AV438" i="11"/>
  <c r="AW438" i="11"/>
  <c r="AS439" i="11"/>
  <c r="AU439" i="11"/>
  <c r="K68" i="18"/>
  <c r="K72" i="18"/>
  <c r="AT439" i="11"/>
  <c r="AV439" i="11"/>
  <c r="AW439" i="11"/>
  <c r="AS440" i="11"/>
  <c r="AU440" i="11"/>
  <c r="L68" i="18"/>
  <c r="L72" i="18"/>
  <c r="AT440" i="11"/>
  <c r="AV440" i="11"/>
  <c r="AW440" i="11"/>
  <c r="AS441" i="11"/>
  <c r="K96" i="18"/>
  <c r="AU441" i="11"/>
  <c r="AT441" i="11"/>
  <c r="AV441" i="11"/>
  <c r="AW441" i="11"/>
  <c r="AS442" i="11"/>
  <c r="AT442" i="11"/>
  <c r="AU442" i="11"/>
  <c r="AV442" i="11"/>
  <c r="AW442" i="11"/>
  <c r="AS443" i="11"/>
  <c r="AU443" i="11"/>
  <c r="AT443" i="11"/>
  <c r="AV443" i="11"/>
  <c r="AW443" i="11"/>
  <c r="AS444" i="11"/>
  <c r="M68" i="18"/>
  <c r="M72" i="18"/>
  <c r="AT444" i="11"/>
  <c r="AU444" i="11"/>
  <c r="M96" i="18"/>
  <c r="N68" i="18"/>
  <c r="N72" i="18"/>
  <c r="AV444" i="11"/>
  <c r="AW444" i="11"/>
  <c r="AS445" i="11"/>
  <c r="AU445" i="11"/>
  <c r="AT445" i="11"/>
  <c r="AV445" i="11"/>
  <c r="AW445" i="11"/>
  <c r="AS446" i="11"/>
  <c r="O68" i="18"/>
  <c r="O72" i="18"/>
  <c r="AU446" i="11"/>
  <c r="AT446" i="11"/>
  <c r="AV446" i="11"/>
  <c r="AW446" i="11"/>
  <c r="AS447" i="11"/>
  <c r="P68" i="18"/>
  <c r="P72" i="18"/>
  <c r="AU447" i="11"/>
  <c r="AT447" i="11"/>
  <c r="O96" i="18"/>
  <c r="AV447" i="11"/>
  <c r="AW447" i="11"/>
  <c r="AS448" i="11"/>
  <c r="AT448" i="11"/>
  <c r="AU448" i="11"/>
  <c r="AV448" i="11"/>
  <c r="AW448" i="11"/>
  <c r="AS449" i="11"/>
  <c r="AU449" i="11"/>
  <c r="AT449" i="11"/>
  <c r="AV449" i="11"/>
  <c r="AW449" i="11"/>
  <c r="AS450" i="11"/>
  <c r="AT450" i="11"/>
  <c r="AU450" i="11"/>
  <c r="Q68" i="18"/>
  <c r="Q72" i="18"/>
  <c r="AV450" i="11"/>
  <c r="AW450" i="11"/>
  <c r="AS451" i="11"/>
  <c r="AU451" i="11"/>
  <c r="R68" i="18"/>
  <c r="R72" i="18"/>
  <c r="AT451" i="11"/>
  <c r="AV451" i="11"/>
  <c r="AW451" i="11"/>
  <c r="AS452" i="11"/>
  <c r="AU452" i="11"/>
  <c r="Q96" i="18"/>
  <c r="AT452" i="11"/>
  <c r="AV452" i="11"/>
  <c r="AW452" i="11"/>
  <c r="AS453" i="11"/>
  <c r="AU453" i="11"/>
  <c r="AT453" i="11"/>
  <c r="AV453" i="11"/>
  <c r="AW453" i="11"/>
  <c r="AS454" i="11"/>
  <c r="S68" i="18"/>
  <c r="S72" i="18"/>
  <c r="AU454" i="11"/>
  <c r="AT454" i="11"/>
  <c r="T68" i="18"/>
  <c r="T72" i="18"/>
  <c r="AV454" i="11"/>
  <c r="AW454" i="11"/>
  <c r="AS455" i="11"/>
  <c r="AU455" i="11"/>
  <c r="AT455" i="11"/>
  <c r="S96" i="18"/>
  <c r="AV455" i="11"/>
  <c r="AW455" i="11"/>
  <c r="AS456" i="11"/>
  <c r="AU456" i="11"/>
  <c r="AT456" i="11"/>
  <c r="AV456" i="11"/>
  <c r="AW456" i="11"/>
  <c r="AS457" i="11"/>
  <c r="AU457" i="11"/>
  <c r="AT457" i="11"/>
  <c r="U68" i="18"/>
  <c r="U72" i="18"/>
  <c r="AV457" i="11"/>
  <c r="AW457" i="11"/>
  <c r="AS458" i="11"/>
  <c r="AU458" i="11"/>
  <c r="AT458" i="11"/>
  <c r="AV458" i="11"/>
  <c r="AW458" i="11"/>
  <c r="AS459" i="11"/>
  <c r="AU459" i="11"/>
  <c r="V68" i="18"/>
  <c r="V72" i="18"/>
  <c r="AT459" i="11"/>
  <c r="AV459" i="11"/>
  <c r="AW459" i="11"/>
  <c r="AS460" i="11"/>
  <c r="AU460" i="11"/>
  <c r="U96" i="18"/>
  <c r="V69" i="18"/>
  <c r="AT460" i="11"/>
  <c r="AV460" i="11"/>
  <c r="AW460" i="11"/>
  <c r="AS461" i="11"/>
  <c r="AU461" i="11"/>
  <c r="V70" i="18"/>
  <c r="AT461" i="11"/>
  <c r="AV461" i="11"/>
  <c r="AW461" i="11"/>
  <c r="AS462" i="11"/>
  <c r="AT462" i="11"/>
  <c r="W68" i="18"/>
  <c r="W72" i="18"/>
  <c r="AU462" i="11"/>
  <c r="AV462" i="11"/>
  <c r="AW462" i="11"/>
  <c r="AS463" i="11"/>
  <c r="X68" i="18"/>
  <c r="X72" i="18"/>
  <c r="AU463" i="11"/>
  <c r="AT463" i="11"/>
  <c r="W96" i="18"/>
  <c r="AV463" i="11"/>
  <c r="AW463" i="11"/>
  <c r="AS464" i="11"/>
  <c r="AU464" i="11"/>
  <c r="AT464" i="11"/>
  <c r="AV464" i="11"/>
  <c r="AW464" i="11"/>
  <c r="AS465" i="11"/>
  <c r="AU465" i="11"/>
  <c r="AT465" i="11"/>
  <c r="X69" i="18"/>
  <c r="X55" i="18"/>
  <c r="X57" i="18"/>
  <c r="X66" i="18"/>
  <c r="X63" i="18"/>
  <c r="X75" i="18"/>
  <c r="AV465" i="11"/>
  <c r="AW465" i="11"/>
  <c r="AS466" i="11"/>
  <c r="AT466" i="11"/>
  <c r="X70" i="18"/>
  <c r="X62" i="18"/>
  <c r="X79" i="18"/>
  <c r="X84" i="18"/>
  <c r="AU466" i="11"/>
  <c r="AV466" i="11"/>
  <c r="AW466" i="11"/>
  <c r="AS467" i="11"/>
  <c r="AU467" i="11"/>
  <c r="Y68" i="18"/>
  <c r="Y72" i="18"/>
  <c r="X74" i="18"/>
  <c r="X80" i="18"/>
  <c r="X93" i="18"/>
  <c r="X92" i="18"/>
  <c r="AT467" i="11"/>
  <c r="AV467" i="11"/>
  <c r="AW467" i="11"/>
  <c r="AS468" i="11"/>
  <c r="Z68" i="18"/>
  <c r="Z72" i="18"/>
  <c r="X83" i="18"/>
  <c r="AU468" i="11"/>
  <c r="AT468" i="11"/>
  <c r="X88" i="18"/>
  <c r="X97" i="18"/>
  <c r="X87" i="18"/>
  <c r="X96" i="18"/>
  <c r="AV468" i="11"/>
  <c r="AW468" i="11"/>
  <c r="AS469" i="11"/>
  <c r="AU469" i="11"/>
  <c r="AT469" i="11"/>
  <c r="Y96" i="18"/>
  <c r="AV469" i="11"/>
  <c r="AW469" i="11"/>
  <c r="AS470" i="11"/>
  <c r="AU470" i="11"/>
  <c r="AT470" i="11"/>
  <c r="AV470" i="11"/>
  <c r="AW470" i="11"/>
  <c r="AS471" i="11"/>
  <c r="AU471" i="11"/>
  <c r="Z13" i="18"/>
  <c r="Z69" i="18"/>
  <c r="AT471" i="11"/>
  <c r="AV471" i="11"/>
  <c r="AW471" i="11"/>
  <c r="AS472" i="11"/>
  <c r="AU472" i="11"/>
  <c r="AT472" i="11"/>
  <c r="AV472" i="11"/>
  <c r="AW472" i="11"/>
  <c r="AS473" i="11"/>
  <c r="AU473" i="11"/>
  <c r="AT473" i="11"/>
  <c r="AV473" i="11"/>
  <c r="AW473" i="11"/>
  <c r="AS474" i="11"/>
  <c r="AA68" i="18"/>
  <c r="AU474" i="11"/>
  <c r="AT474" i="11"/>
  <c r="AV474" i="11"/>
  <c r="AW474" i="11"/>
  <c r="AS475" i="11"/>
  <c r="AU475" i="11"/>
  <c r="AT475" i="11"/>
  <c r="AV475" i="11"/>
  <c r="AW475" i="11"/>
  <c r="AS476" i="11"/>
  <c r="AT476" i="11"/>
  <c r="AU476" i="11"/>
  <c r="AV476" i="11"/>
  <c r="AW476" i="11"/>
  <c r="AS477" i="11"/>
  <c r="AU477" i="11"/>
  <c r="AT477" i="11"/>
  <c r="AV477" i="11"/>
  <c r="AW477" i="11"/>
  <c r="AS478" i="11"/>
  <c r="AU478" i="11"/>
  <c r="AT478" i="11"/>
  <c r="AV478" i="11"/>
  <c r="AW478" i="11"/>
  <c r="AS479" i="11"/>
  <c r="AU479" i="11"/>
  <c r="AT479" i="11"/>
  <c r="AV479" i="11"/>
  <c r="AW479" i="11"/>
  <c r="AS480" i="11"/>
  <c r="AT480" i="11"/>
  <c r="AU480" i="11"/>
  <c r="AV480" i="11"/>
  <c r="AW480" i="11"/>
  <c r="AS481" i="11"/>
  <c r="AU481" i="11"/>
  <c r="AT481" i="11"/>
  <c r="AV481" i="11"/>
  <c r="AW481" i="11"/>
  <c r="AS482" i="11"/>
  <c r="AU482" i="11"/>
  <c r="AT482" i="11"/>
  <c r="AV482" i="11"/>
  <c r="AW482" i="11"/>
  <c r="AS483" i="11"/>
  <c r="AU483" i="11"/>
  <c r="AT483" i="11"/>
  <c r="AV483" i="11"/>
  <c r="AW483" i="11"/>
  <c r="AS484" i="11"/>
  <c r="AU484" i="11"/>
  <c r="AT484" i="11"/>
  <c r="AV484" i="11"/>
  <c r="AW484" i="11"/>
  <c r="AS485" i="11"/>
  <c r="AT485" i="11"/>
  <c r="AU485" i="11"/>
  <c r="AV485" i="11"/>
  <c r="AW485" i="11"/>
  <c r="AS486" i="11"/>
  <c r="AU486" i="11"/>
  <c r="AT486" i="11"/>
  <c r="AV486" i="11"/>
  <c r="AW486" i="11"/>
  <c r="AS487" i="11"/>
  <c r="AT487" i="11"/>
  <c r="AU487" i="11"/>
  <c r="AV487" i="11"/>
  <c r="AW487" i="11"/>
  <c r="AS488" i="11"/>
  <c r="AT488" i="11"/>
  <c r="AU488" i="11"/>
  <c r="AV488" i="11"/>
  <c r="AW488" i="11"/>
  <c r="AS489" i="11"/>
  <c r="AU489" i="11"/>
  <c r="AT489" i="11"/>
  <c r="AV489" i="11"/>
  <c r="AW489" i="11"/>
  <c r="AS490" i="11"/>
  <c r="AU490" i="11"/>
  <c r="AT490" i="11"/>
  <c r="AV490" i="11"/>
  <c r="AW490" i="11"/>
  <c r="AS491" i="11"/>
  <c r="AU491" i="11"/>
  <c r="AT491" i="11"/>
  <c r="AV491" i="11"/>
  <c r="AW491" i="11"/>
  <c r="AS492" i="11"/>
  <c r="AU492" i="11"/>
  <c r="AT492" i="11"/>
  <c r="AV492" i="11"/>
  <c r="AW492" i="11"/>
  <c r="AS493" i="11"/>
  <c r="AU493" i="11"/>
  <c r="AT493" i="11"/>
  <c r="AV493" i="11"/>
  <c r="AW493" i="11"/>
  <c r="AS494" i="11"/>
  <c r="AU494" i="11"/>
  <c r="AT494" i="11"/>
  <c r="AV494" i="11"/>
  <c r="AW494" i="11"/>
  <c r="AS495" i="11"/>
  <c r="AT495" i="11"/>
  <c r="Z30" i="18"/>
  <c r="Z55" i="18"/>
  <c r="X56" i="18"/>
  <c r="L115" i="2"/>
  <c r="Z70" i="18"/>
  <c r="AU495" i="11"/>
  <c r="AV495" i="11"/>
  <c r="AW495" i="11"/>
  <c r="AS496" i="11"/>
  <c r="AU496" i="11"/>
  <c r="Z56" i="18"/>
  <c r="Z66" i="18"/>
  <c r="Z63" i="18"/>
  <c r="Z75" i="18"/>
  <c r="AT496" i="11"/>
  <c r="Z57" i="18"/>
  <c r="M115" i="2"/>
  <c r="N115" i="2"/>
  <c r="AV496" i="11"/>
  <c r="AW496" i="11"/>
  <c r="AS497" i="11"/>
  <c r="Z62" i="18"/>
  <c r="Z74" i="18"/>
  <c r="Z80" i="18"/>
  <c r="Z84" i="18"/>
  <c r="Z79" i="18"/>
  <c r="AT497" i="11"/>
  <c r="AU497" i="11"/>
  <c r="V13" i="18"/>
  <c r="X13" i="18"/>
  <c r="V55" i="18"/>
  <c r="X30" i="18"/>
  <c r="Z83" i="18"/>
  <c r="Z87" i="18"/>
  <c r="Z93" i="18"/>
  <c r="Z92" i="18"/>
  <c r="V66" i="18"/>
  <c r="V63" i="18"/>
  <c r="V75" i="18"/>
  <c r="AV497" i="11"/>
  <c r="AW497" i="11"/>
  <c r="V56" i="18"/>
  <c r="K115" i="2"/>
  <c r="V57" i="18"/>
  <c r="Z88" i="18"/>
  <c r="Z97" i="18"/>
  <c r="Z96" i="18"/>
  <c r="V84" i="18"/>
  <c r="V79" i="18"/>
  <c r="V62" i="18"/>
  <c r="V74" i="18"/>
  <c r="Q34" i="22"/>
  <c r="Q37" i="22"/>
  <c r="J41" i="2"/>
  <c r="J90" i="2"/>
  <c r="V83" i="18"/>
  <c r="V80" i="18"/>
  <c r="V92" i="18"/>
  <c r="V93" i="18"/>
  <c r="J98" i="2"/>
  <c r="V88" i="18"/>
  <c r="V97" i="18"/>
  <c r="V87" i="18"/>
  <c r="V96" i="18"/>
  <c r="J100" i="2"/>
  <c r="J107" i="2"/>
  <c r="J104" i="2"/>
  <c r="J112" i="2"/>
  <c r="J109" i="2"/>
  <c r="J106" i="2"/>
  <c r="J103" i="2"/>
  <c r="J111" i="2"/>
  <c r="J108" i="2"/>
  <c r="T30" i="18"/>
  <c r="J105" i="2"/>
  <c r="J113" i="2"/>
  <c r="J110" i="2"/>
  <c r="AC30" i="18"/>
  <c r="U81" i="18"/>
  <c r="V81" i="18"/>
  <c r="W81" i="18"/>
  <c r="X81" i="18"/>
  <c r="Y81" i="18"/>
  <c r="Z81" i="18"/>
  <c r="X91" i="20" l="1"/>
  <c r="T91" i="20"/>
  <c r="K91" i="20"/>
  <c r="S91" i="20"/>
  <c r="R91" i="20"/>
  <c r="E91" i="20" s="1"/>
  <c r="Z91" i="20"/>
  <c r="G91" i="20" s="1"/>
  <c r="P91" i="20"/>
  <c r="AB91" i="20"/>
  <c r="Q91" i="20"/>
  <c r="AF91" i="20"/>
  <c r="AC91" i="20"/>
  <c r="Y91" i="20"/>
  <c r="AD91" i="20"/>
  <c r="H91" i="20" s="1"/>
  <c r="J91" i="20"/>
  <c r="C91" i="20" s="1"/>
  <c r="U91" i="20"/>
  <c r="AA91" i="20"/>
  <c r="O91" i="20"/>
  <c r="N91" i="20"/>
  <c r="D91" i="20" s="1"/>
  <c r="V91" i="20"/>
  <c r="F91" i="20" s="1"/>
  <c r="AE91" i="20"/>
  <c r="W91" i="20"/>
  <c r="M91" i="20"/>
  <c r="L91" i="20"/>
  <c r="AG91" i="20"/>
  <c r="K97" i="20"/>
  <c r="N97" i="20"/>
  <c r="D97" i="20" s="1"/>
  <c r="V97" i="20"/>
  <c r="F97" i="20" s="1"/>
  <c r="AA93" i="20"/>
  <c r="M97" i="20"/>
  <c r="I92" i="20"/>
  <c r="I99" i="20"/>
  <c r="K93" i="20"/>
  <c r="N93" i="20"/>
  <c r="D93" i="20" s="1"/>
  <c r="W97" i="20"/>
  <c r="J97" i="20"/>
  <c r="C97" i="20" s="1"/>
  <c r="T97" i="20"/>
  <c r="X97" i="20"/>
  <c r="I95" i="20"/>
  <c r="I90" i="20"/>
  <c r="I94" i="20"/>
  <c r="I96" i="20"/>
  <c r="Z97" i="20"/>
  <c r="G97" i="20" s="1"/>
  <c r="AD97" i="20"/>
  <c r="H97" i="20" s="1"/>
  <c r="O97" i="20"/>
  <c r="AG93" i="20"/>
  <c r="I98" i="20"/>
  <c r="AA97" i="20"/>
  <c r="N94" i="20"/>
  <c r="D94" i="20" s="1"/>
  <c r="R93" i="20"/>
  <c r="E93" i="20" s="1"/>
  <c r="AE93" i="20"/>
  <c r="J93" i="20"/>
  <c r="C93" i="20" s="1"/>
  <c r="P93" i="20"/>
  <c r="Y94" i="20"/>
  <c r="AF93" i="20"/>
  <c r="J95" i="20"/>
  <c r="C95" i="20" s="1"/>
  <c r="O93" i="20"/>
  <c r="AB93" i="20"/>
  <c r="Z93" i="20"/>
  <c r="G93" i="20" s="1"/>
  <c r="T94" i="20"/>
  <c r="AC95" i="20"/>
  <c r="AC93" i="20"/>
  <c r="AG94" i="20"/>
  <c r="S94" i="20"/>
  <c r="V93" i="20"/>
  <c r="F93" i="20" s="1"/>
  <c r="AD94" i="20"/>
  <c r="H94" i="20" s="1"/>
  <c r="L93" i="20"/>
  <c r="M94" i="20"/>
  <c r="O94" i="20"/>
  <c r="Y93" i="20"/>
  <c r="AE94" i="20"/>
  <c r="M93" i="20"/>
  <c r="L94" i="20"/>
  <c r="T95" i="20"/>
  <c r="T93" i="20"/>
  <c r="AB94" i="20"/>
  <c r="R94" i="20"/>
  <c r="E94" i="20" s="1"/>
  <c r="AA94" i="20"/>
  <c r="AD93" i="20"/>
  <c r="H93" i="20" s="1"/>
  <c r="O170" i="11"/>
  <c r="N169" i="11"/>
  <c r="O56" i="11"/>
  <c r="N56" i="11" s="1"/>
  <c r="O48" i="11"/>
  <c r="N48" i="11" s="1"/>
  <c r="O45" i="11"/>
  <c r="N45" i="11" s="1"/>
  <c r="O41" i="11"/>
  <c r="N41" i="11" s="1"/>
  <c r="O36" i="11"/>
  <c r="N36" i="11" s="1"/>
  <c r="O32" i="11"/>
  <c r="N32" i="11" s="1"/>
  <c r="O26" i="11"/>
  <c r="N26" i="11" s="1"/>
  <c r="P8" i="1"/>
  <c r="E18" i="11" s="1"/>
  <c r="E19" i="11" s="1"/>
  <c r="E20" i="11" s="1"/>
  <c r="E21" i="11" s="1"/>
  <c r="E22" i="11" s="1"/>
  <c r="E23" i="11" s="1"/>
  <c r="E24" i="11" s="1"/>
  <c r="E25" i="11" s="1"/>
  <c r="E26" i="11" s="1"/>
  <c r="E27" i="11" s="1"/>
  <c r="E28" i="11" s="1"/>
  <c r="E29" i="11" s="1"/>
  <c r="E30" i="11" s="1"/>
  <c r="E31" i="11" s="1"/>
  <c r="E32" i="11" s="1"/>
  <c r="E33" i="11" s="1"/>
  <c r="E34" i="11" s="1"/>
  <c r="E35" i="11" s="1"/>
  <c r="E36" i="11" s="1"/>
  <c r="E37" i="11" s="1"/>
  <c r="E38" i="11" s="1"/>
  <c r="E39" i="11" s="1"/>
  <c r="E40" i="11" s="1"/>
  <c r="E41" i="11" s="1"/>
  <c r="E42" i="11" s="1"/>
  <c r="E43" i="11" s="1"/>
  <c r="E44" i="11" s="1"/>
  <c r="E45" i="11" s="1"/>
  <c r="E46" i="11" s="1"/>
  <c r="E47" i="11" s="1"/>
  <c r="E48" i="11" s="1"/>
  <c r="E49" i="11" s="1"/>
  <c r="E50" i="11" s="1"/>
  <c r="E51" i="11" s="1"/>
  <c r="E52" i="11" s="1"/>
  <c r="E53" i="11" s="1"/>
  <c r="E54" i="11" s="1"/>
  <c r="E55" i="11" s="1"/>
  <c r="E56" i="11" s="1"/>
  <c r="E57" i="11" s="1"/>
  <c r="E58" i="11" s="1"/>
  <c r="E59" i="11" s="1"/>
  <c r="E60" i="11" s="1"/>
  <c r="E61" i="11" s="1"/>
  <c r="E62" i="11" s="1"/>
  <c r="E63" i="11" s="1"/>
  <c r="E64" i="11" s="1"/>
  <c r="E65" i="11" s="1"/>
  <c r="E66" i="11" s="1"/>
  <c r="E67" i="11" s="1"/>
  <c r="E68" i="11" s="1"/>
  <c r="E69" i="11" s="1"/>
  <c r="E70" i="11" s="1"/>
  <c r="E71" i="11" s="1"/>
  <c r="E72" i="11" s="1"/>
  <c r="E73" i="11" s="1"/>
  <c r="E74" i="11" s="1"/>
  <c r="E75" i="11" s="1"/>
  <c r="E76" i="11" s="1"/>
  <c r="E77" i="11" s="1"/>
  <c r="E78" i="11" s="1"/>
  <c r="E79" i="11" s="1"/>
  <c r="E80" i="11" s="1"/>
  <c r="E81" i="11" s="1"/>
  <c r="E82" i="11" s="1"/>
  <c r="E83" i="11" s="1"/>
  <c r="E84" i="11" s="1"/>
  <c r="E85" i="11" s="1"/>
  <c r="E86" i="11" s="1"/>
  <c r="E87" i="11" s="1"/>
  <c r="E88" i="11" s="1"/>
  <c r="E89" i="11" s="1"/>
  <c r="E90" i="11" s="1"/>
  <c r="E91" i="11" s="1"/>
  <c r="E92" i="11" s="1"/>
  <c r="E93" i="11" s="1"/>
  <c r="E94" i="11" s="1"/>
  <c r="E95" i="11" s="1"/>
  <c r="E96" i="11" s="1"/>
  <c r="E97" i="11" s="1"/>
  <c r="E98" i="11" s="1"/>
  <c r="E99" i="11" s="1"/>
  <c r="E100" i="11" s="1"/>
  <c r="E101" i="11" s="1"/>
  <c r="E102" i="11" s="1"/>
  <c r="E103" i="11" s="1"/>
  <c r="E104" i="11" s="1"/>
  <c r="E105" i="11" s="1"/>
  <c r="E106" i="11" s="1"/>
  <c r="E107" i="11" s="1"/>
  <c r="E108" i="11" s="1"/>
  <c r="E109" i="11" s="1"/>
  <c r="E110" i="11" s="1"/>
  <c r="E111" i="11" s="1"/>
  <c r="E112" i="11" s="1"/>
  <c r="E113" i="11" s="1"/>
  <c r="E114" i="11" s="1"/>
  <c r="E115" i="11" s="1"/>
  <c r="E116" i="11" s="1"/>
  <c r="E117" i="11" s="1"/>
  <c r="E118" i="11" s="1"/>
  <c r="E119" i="11" s="1"/>
  <c r="E120" i="11" s="1"/>
  <c r="E121" i="11" s="1"/>
  <c r="E122" i="11" s="1"/>
  <c r="E123" i="11" s="1"/>
  <c r="E124" i="11" s="1"/>
  <c r="E125" i="11" s="1"/>
  <c r="E126" i="11" s="1"/>
  <c r="E127" i="11" s="1"/>
  <c r="E128" i="11" s="1"/>
  <c r="E129" i="11" s="1"/>
  <c r="E130" i="11" s="1"/>
  <c r="E131" i="11" s="1"/>
  <c r="E132" i="11" s="1"/>
  <c r="E133" i="11" s="1"/>
  <c r="E134" i="11" s="1"/>
  <c r="E135" i="11" s="1"/>
  <c r="E136" i="11" s="1"/>
  <c r="E137" i="11" s="1"/>
  <c r="E138" i="11" s="1"/>
  <c r="E139" i="11" s="1"/>
  <c r="E140" i="11" s="1"/>
  <c r="E141" i="11" s="1"/>
  <c r="E142" i="11" s="1"/>
  <c r="E143" i="11" s="1"/>
  <c r="E144" i="11" s="1"/>
  <c r="E145" i="11" s="1"/>
  <c r="E146" i="11" s="1"/>
  <c r="E147" i="11" s="1"/>
  <c r="E148" i="11" s="1"/>
  <c r="E149" i="11" s="1"/>
  <c r="E150" i="11" s="1"/>
  <c r="E151" i="11" s="1"/>
  <c r="E152" i="11" s="1"/>
  <c r="E153" i="11" s="1"/>
  <c r="E154" i="11" s="1"/>
  <c r="E155" i="11" s="1"/>
  <c r="E156" i="11" s="1"/>
  <c r="E157" i="11" s="1"/>
  <c r="E158" i="11" s="1"/>
  <c r="E159" i="11" s="1"/>
  <c r="E160" i="11" s="1"/>
  <c r="E161" i="11" s="1"/>
  <c r="E162" i="11" s="1"/>
  <c r="E163" i="11" s="1"/>
  <c r="E164" i="11" s="1"/>
  <c r="E165" i="11" s="1"/>
  <c r="E166" i="11" s="1"/>
  <c r="E167" i="11" s="1"/>
  <c r="E168" i="11" s="1"/>
  <c r="E169" i="11" s="1"/>
  <c r="E170" i="11" s="1"/>
  <c r="E171" i="11" s="1"/>
  <c r="E172" i="11" s="1"/>
  <c r="E173" i="11" s="1"/>
  <c r="E174" i="11" s="1"/>
  <c r="E175" i="11" s="1"/>
  <c r="E176" i="11" s="1"/>
  <c r="E177" i="11" s="1"/>
  <c r="E178" i="11" s="1"/>
  <c r="E179" i="11" s="1"/>
  <c r="E180" i="11" s="1"/>
  <c r="E181" i="11" s="1"/>
  <c r="E182" i="11" s="1"/>
  <c r="E183" i="11" s="1"/>
  <c r="E184" i="11" s="1"/>
  <c r="E185" i="11" s="1"/>
  <c r="E186" i="11" s="1"/>
  <c r="E187" i="11" s="1"/>
  <c r="E188" i="11" s="1"/>
  <c r="E189" i="11" s="1"/>
  <c r="E190" i="11" s="1"/>
  <c r="E191" i="11" s="1"/>
  <c r="E192" i="11" s="1"/>
  <c r="E193" i="11" s="1"/>
  <c r="E194" i="11" s="1"/>
  <c r="E195" i="11" s="1"/>
  <c r="E196" i="11" s="1"/>
  <c r="E197" i="11" s="1"/>
  <c r="E198" i="11" s="1"/>
  <c r="E199" i="11" s="1"/>
  <c r="E200" i="11" s="1"/>
  <c r="E201" i="11" s="1"/>
  <c r="E202" i="11" s="1"/>
  <c r="E203" i="11" s="1"/>
  <c r="E204" i="11" s="1"/>
  <c r="E205" i="11" s="1"/>
  <c r="E206" i="11" s="1"/>
  <c r="E207" i="11" s="1"/>
  <c r="E208" i="11" s="1"/>
  <c r="E209" i="11" s="1"/>
  <c r="E210" i="11" s="1"/>
  <c r="E211" i="11" s="1"/>
  <c r="E212" i="11" s="1"/>
  <c r="E213" i="11" s="1"/>
  <c r="E214" i="11" s="1"/>
  <c r="E215" i="11" s="1"/>
  <c r="E216" i="11" s="1"/>
  <c r="E217" i="11" s="1"/>
  <c r="E218" i="11" s="1"/>
  <c r="E219" i="11" s="1"/>
  <c r="E220" i="11" s="1"/>
  <c r="E221" i="11" s="1"/>
  <c r="E222" i="11" s="1"/>
  <c r="E223" i="11" s="1"/>
  <c r="E224" i="11" s="1"/>
  <c r="E225" i="11" s="1"/>
  <c r="E226" i="11" s="1"/>
  <c r="E227" i="11" s="1"/>
  <c r="E228" i="11" s="1"/>
  <c r="E229" i="11" s="1"/>
  <c r="E230" i="11" s="1"/>
  <c r="E231" i="11" s="1"/>
  <c r="E232" i="11" s="1"/>
  <c r="E233" i="11" s="1"/>
  <c r="E234" i="11" s="1"/>
  <c r="E235" i="11" s="1"/>
  <c r="E236" i="11" s="1"/>
  <c r="E237" i="11" s="1"/>
  <c r="E238" i="11" s="1"/>
  <c r="E239" i="11" s="1"/>
  <c r="E240" i="11" s="1"/>
  <c r="E241" i="11" s="1"/>
  <c r="E242" i="11" s="1"/>
  <c r="E243" i="11" s="1"/>
  <c r="E244" i="11" s="1"/>
  <c r="E245" i="11" s="1"/>
  <c r="E246" i="11" s="1"/>
  <c r="E247" i="11" s="1"/>
  <c r="E248" i="11" s="1"/>
  <c r="E249" i="11" s="1"/>
  <c r="E250" i="11" s="1"/>
  <c r="E251" i="11" s="1"/>
  <c r="E252" i="11" s="1"/>
  <c r="E253" i="11" s="1"/>
  <c r="E254" i="11" s="1"/>
  <c r="E255" i="11" s="1"/>
  <c r="E256" i="11" s="1"/>
  <c r="E257" i="11" s="1"/>
  <c r="O58" i="11"/>
  <c r="N58" i="11" s="1"/>
  <c r="O52" i="11"/>
  <c r="N52" i="11" s="1"/>
  <c r="O51" i="11"/>
  <c r="N51" i="11" s="1"/>
  <c r="O28" i="11"/>
  <c r="N28" i="11" s="1"/>
  <c r="AP18" i="11"/>
  <c r="AP19" i="11" s="1"/>
  <c r="AP20" i="11" s="1"/>
  <c r="AP21" i="11" s="1"/>
  <c r="AP22" i="11" s="1"/>
  <c r="AP23" i="11" s="1"/>
  <c r="AP24" i="11" s="1"/>
  <c r="AP25" i="11" s="1"/>
  <c r="AP26" i="11" s="1"/>
  <c r="AP27" i="11" s="1"/>
  <c r="AP28" i="11" s="1"/>
  <c r="AP29" i="11" s="1"/>
  <c r="AP30" i="11" s="1"/>
  <c r="AP31" i="11" s="1"/>
  <c r="AP32" i="11" s="1"/>
  <c r="AP33" i="11" s="1"/>
  <c r="AP34" i="11" s="1"/>
  <c r="AP35" i="11" s="1"/>
  <c r="AP36" i="11" s="1"/>
  <c r="AP37" i="11" s="1"/>
  <c r="AP38" i="11" s="1"/>
  <c r="AP39" i="11" s="1"/>
  <c r="AP40" i="11" s="1"/>
  <c r="AP41" i="11" s="1"/>
  <c r="AP42" i="11" s="1"/>
  <c r="AP43" i="11" s="1"/>
  <c r="AP44" i="11" s="1"/>
  <c r="AP45" i="11" s="1"/>
  <c r="AP46" i="11" s="1"/>
  <c r="AP47" i="11" s="1"/>
  <c r="AP48" i="11" s="1"/>
  <c r="AP49" i="11" s="1"/>
  <c r="AP50" i="11" s="1"/>
  <c r="AP51" i="11" s="1"/>
  <c r="AP52" i="11" s="1"/>
  <c r="AP53" i="11" s="1"/>
  <c r="AP54" i="11" s="1"/>
  <c r="AP55" i="11" s="1"/>
  <c r="AP56" i="11" s="1"/>
  <c r="AP57" i="11" s="1"/>
  <c r="AP58" i="11" s="1"/>
  <c r="AP59" i="11" s="1"/>
  <c r="AP60" i="11" s="1"/>
  <c r="AP61" i="11" s="1"/>
  <c r="AP62" i="11" s="1"/>
  <c r="AP63" i="11" s="1"/>
  <c r="AP64" i="11" s="1"/>
  <c r="AP65" i="11" s="1"/>
  <c r="AP66" i="11" s="1"/>
  <c r="AP67" i="11" s="1"/>
  <c r="AP68" i="11" s="1"/>
  <c r="AP69" i="11" s="1"/>
  <c r="AP70" i="11" s="1"/>
  <c r="AP71" i="11" s="1"/>
  <c r="AP72" i="11" s="1"/>
  <c r="AP73" i="11" s="1"/>
  <c r="AP74" i="11" s="1"/>
  <c r="AP75" i="11" s="1"/>
  <c r="AP76" i="11" s="1"/>
  <c r="AP77" i="11" s="1"/>
  <c r="AP78" i="11" s="1"/>
  <c r="AP79" i="11" s="1"/>
  <c r="AP80" i="11" s="1"/>
  <c r="AP81" i="11" s="1"/>
  <c r="AP82" i="11" s="1"/>
  <c r="AP83" i="11" s="1"/>
  <c r="AP84" i="11" s="1"/>
  <c r="AP85" i="11" s="1"/>
  <c r="AP86" i="11" s="1"/>
  <c r="AP87" i="11" s="1"/>
  <c r="AP88" i="11" s="1"/>
  <c r="AP89" i="11" s="1"/>
  <c r="AP90" i="11" s="1"/>
  <c r="AP91" i="11" s="1"/>
  <c r="AP92" i="11" s="1"/>
  <c r="AP93" i="11" s="1"/>
  <c r="AP94" i="11" s="1"/>
  <c r="AP95" i="11" s="1"/>
  <c r="AP96" i="11" s="1"/>
  <c r="AP97" i="11" s="1"/>
  <c r="AP98" i="11" s="1"/>
  <c r="AP99" i="11" s="1"/>
  <c r="AP100" i="11" s="1"/>
  <c r="AP101" i="11" s="1"/>
  <c r="AP102" i="11" s="1"/>
  <c r="AP103" i="11" s="1"/>
  <c r="AP104" i="11" s="1"/>
  <c r="AP105" i="11" s="1"/>
  <c r="AP106" i="11" s="1"/>
  <c r="AP107" i="11" s="1"/>
  <c r="AP108" i="11" s="1"/>
  <c r="AP109" i="11" s="1"/>
  <c r="AP110" i="11" s="1"/>
  <c r="AP111" i="11" s="1"/>
  <c r="AP112" i="11" s="1"/>
  <c r="AP113" i="11" s="1"/>
  <c r="AP114" i="11" s="1"/>
  <c r="AP115" i="11" s="1"/>
  <c r="AP116" i="11" s="1"/>
  <c r="AP117" i="11" s="1"/>
  <c r="AP118" i="11" s="1"/>
  <c r="AP119" i="11" s="1"/>
  <c r="AP120" i="11" s="1"/>
  <c r="AP121" i="11" s="1"/>
  <c r="AP122" i="11" s="1"/>
  <c r="AP123" i="11" s="1"/>
  <c r="AP124" i="11" s="1"/>
  <c r="AP125" i="11" s="1"/>
  <c r="AP126" i="11" s="1"/>
  <c r="AP127" i="11" s="1"/>
  <c r="AP128" i="11" s="1"/>
  <c r="AP129" i="11" s="1"/>
  <c r="AP130" i="11" s="1"/>
  <c r="AP131" i="11" s="1"/>
  <c r="AP132" i="11" s="1"/>
  <c r="AP133" i="11" s="1"/>
  <c r="AP134" i="11" s="1"/>
  <c r="AP135" i="11" s="1"/>
  <c r="AP136" i="11" s="1"/>
  <c r="AP137" i="11" s="1"/>
  <c r="AP138" i="11" s="1"/>
  <c r="AP139" i="11" s="1"/>
  <c r="AP140" i="11" s="1"/>
  <c r="AP141" i="11" s="1"/>
  <c r="AP142" i="11" s="1"/>
  <c r="AP143" i="11" s="1"/>
  <c r="AP144" i="11" s="1"/>
  <c r="AP145" i="11" s="1"/>
  <c r="AP146" i="11" s="1"/>
  <c r="AP147" i="11" s="1"/>
  <c r="AP148" i="11" s="1"/>
  <c r="AP149" i="11" s="1"/>
  <c r="AP150" i="11" s="1"/>
  <c r="AP151" i="11" s="1"/>
  <c r="AP152" i="11" s="1"/>
  <c r="AP153" i="11" s="1"/>
  <c r="AP154" i="11" s="1"/>
  <c r="AP155" i="11" s="1"/>
  <c r="AP156" i="11" s="1"/>
  <c r="AP157" i="11" s="1"/>
  <c r="AP158" i="11" s="1"/>
  <c r="AP159" i="11" s="1"/>
  <c r="AP160" i="11" s="1"/>
  <c r="AP161" i="11" s="1"/>
  <c r="AP162" i="11" s="1"/>
  <c r="AP163" i="11" s="1"/>
  <c r="AP164" i="11" s="1"/>
  <c r="AP165" i="11" s="1"/>
  <c r="AP166" i="11" s="1"/>
  <c r="AP167" i="11" s="1"/>
  <c r="AP168" i="11" s="1"/>
  <c r="AP169" i="11" s="1"/>
  <c r="AP170" i="11" s="1"/>
  <c r="AP171" i="11" s="1"/>
  <c r="AP172" i="11" s="1"/>
  <c r="AP173" i="11" s="1"/>
  <c r="AP174" i="11" s="1"/>
  <c r="AP175" i="11" s="1"/>
  <c r="AP176" i="11" s="1"/>
  <c r="AP177" i="11" s="1"/>
  <c r="AP178" i="11" s="1"/>
  <c r="AP179" i="11" s="1"/>
  <c r="AP180" i="11" s="1"/>
  <c r="AP181" i="11" s="1"/>
  <c r="AP182" i="11" s="1"/>
  <c r="AP183" i="11" s="1"/>
  <c r="AP184" i="11" s="1"/>
  <c r="AP185" i="11" s="1"/>
  <c r="AP186" i="11" s="1"/>
  <c r="AP187" i="11" s="1"/>
  <c r="AP188" i="11" s="1"/>
  <c r="AP189" i="11" s="1"/>
  <c r="AP190" i="11" s="1"/>
  <c r="AP191" i="11" s="1"/>
  <c r="AP192" i="11" s="1"/>
  <c r="AP193" i="11" s="1"/>
  <c r="AP194" i="11" s="1"/>
  <c r="AP195" i="11" s="1"/>
  <c r="AP196" i="11" s="1"/>
  <c r="AP197" i="11" s="1"/>
  <c r="AP198" i="11" s="1"/>
  <c r="AP199" i="11" s="1"/>
  <c r="AP200" i="11" s="1"/>
  <c r="AP201" i="11" s="1"/>
  <c r="AP202" i="11" s="1"/>
  <c r="AP203" i="11" s="1"/>
  <c r="AP204" i="11" s="1"/>
  <c r="AP205" i="11" s="1"/>
  <c r="AP206" i="11" s="1"/>
  <c r="AP207" i="11" s="1"/>
  <c r="AP208" i="11" s="1"/>
  <c r="AP209" i="11" s="1"/>
  <c r="AP210" i="11" s="1"/>
  <c r="AP211" i="11" s="1"/>
  <c r="AP212" i="11" s="1"/>
  <c r="AP213" i="11" s="1"/>
  <c r="AP214" i="11" s="1"/>
  <c r="AP215" i="11" s="1"/>
  <c r="AP216" i="11" s="1"/>
  <c r="AP217" i="11" s="1"/>
  <c r="AP218" i="11" s="1"/>
  <c r="AP219" i="11" s="1"/>
  <c r="AP220" i="11" s="1"/>
  <c r="AP221" i="11" s="1"/>
  <c r="AP222" i="11" s="1"/>
  <c r="AP223" i="11" s="1"/>
  <c r="AP224" i="11" s="1"/>
  <c r="AP225" i="11" s="1"/>
  <c r="AP226" i="11" s="1"/>
  <c r="AP227" i="11" s="1"/>
  <c r="AP228" i="11" s="1"/>
  <c r="AP229" i="11" s="1"/>
  <c r="AP230" i="11" s="1"/>
  <c r="AP231" i="11" s="1"/>
  <c r="AP232" i="11" s="1"/>
  <c r="AP233" i="11" s="1"/>
  <c r="AP234" i="11" s="1"/>
  <c r="AP235" i="11" s="1"/>
  <c r="AP236" i="11" s="1"/>
  <c r="AP237" i="11" s="1"/>
  <c r="AP238" i="11" s="1"/>
  <c r="AP239" i="11" s="1"/>
  <c r="AP240" i="11" s="1"/>
  <c r="AP241" i="11" s="1"/>
  <c r="AP242" i="11" s="1"/>
  <c r="AP243" i="11" s="1"/>
  <c r="AP244" i="11" s="1"/>
  <c r="AP245" i="11" s="1"/>
  <c r="AP246" i="11" s="1"/>
  <c r="AP247" i="11" s="1"/>
  <c r="AP248" i="11" s="1"/>
  <c r="AP249" i="11" s="1"/>
  <c r="AP250" i="11" s="1"/>
  <c r="AP251" i="11" s="1"/>
  <c r="AP252" i="11" s="1"/>
  <c r="AP253" i="11" s="1"/>
  <c r="AP254" i="11" s="1"/>
  <c r="AP255" i="11" s="1"/>
  <c r="AP256" i="11" s="1"/>
  <c r="AP257" i="11" s="1"/>
  <c r="AP258" i="11" s="1"/>
  <c r="AP259" i="11" s="1"/>
  <c r="AP260" i="11" s="1"/>
  <c r="AP261" i="11" s="1"/>
  <c r="AP262" i="11" s="1"/>
  <c r="AP263" i="11" s="1"/>
  <c r="AP264" i="11" s="1"/>
  <c r="AP265" i="11" s="1"/>
  <c r="AP266" i="11" s="1"/>
  <c r="AP267" i="11" s="1"/>
  <c r="AP268" i="11" s="1"/>
  <c r="AP269" i="11" s="1"/>
  <c r="AP270" i="11" s="1"/>
  <c r="AP271" i="11" s="1"/>
  <c r="AP272" i="11" s="1"/>
  <c r="AP273" i="11" s="1"/>
  <c r="AP274" i="11" s="1"/>
  <c r="AP275" i="11" s="1"/>
  <c r="AP276" i="11" s="1"/>
  <c r="AP277" i="11" s="1"/>
  <c r="AP278" i="11" s="1"/>
  <c r="AP279" i="11" s="1"/>
  <c r="AP280" i="11" s="1"/>
  <c r="AP281" i="11" s="1"/>
  <c r="AP282" i="11" s="1"/>
  <c r="AP283" i="11" s="1"/>
  <c r="AP284" i="11" s="1"/>
  <c r="AP285" i="11" s="1"/>
  <c r="AP286" i="11" s="1"/>
  <c r="AP287" i="11" s="1"/>
  <c r="AP288" i="11" s="1"/>
  <c r="AP289" i="11" s="1"/>
  <c r="AP290" i="11" s="1"/>
  <c r="AP291" i="11" s="1"/>
  <c r="AP292" i="11" s="1"/>
  <c r="AP293" i="11" s="1"/>
  <c r="AP294" i="11" s="1"/>
  <c r="AP295" i="11" s="1"/>
  <c r="AP296" i="11" s="1"/>
  <c r="AP297" i="11" s="1"/>
  <c r="AP298" i="11" s="1"/>
  <c r="AP299" i="11" s="1"/>
  <c r="AP300" i="11" s="1"/>
  <c r="AP301" i="11" s="1"/>
  <c r="AP302" i="11" s="1"/>
  <c r="AP303" i="11" s="1"/>
  <c r="AP304" i="11" s="1"/>
  <c r="AP305" i="11" s="1"/>
  <c r="AP306" i="11" s="1"/>
  <c r="AP307" i="11" s="1"/>
  <c r="AP308" i="11" s="1"/>
  <c r="AP309" i="11" s="1"/>
  <c r="AP310" i="11" s="1"/>
  <c r="AP311" i="11" s="1"/>
  <c r="AP312" i="11" s="1"/>
  <c r="AP313" i="11" s="1"/>
  <c r="AP314" i="11" s="1"/>
  <c r="AP315" i="11" s="1"/>
  <c r="AP316" i="11" s="1"/>
  <c r="AP317" i="11" s="1"/>
  <c r="AP318" i="11" s="1"/>
  <c r="AP319" i="11" s="1"/>
  <c r="AP320" i="11" s="1"/>
  <c r="AP321" i="11" s="1"/>
  <c r="AP322" i="11" s="1"/>
  <c r="AP323" i="11" s="1"/>
  <c r="AP324" i="11" s="1"/>
  <c r="AP325" i="11" s="1"/>
  <c r="AP326" i="11" s="1"/>
  <c r="AP327" i="11" s="1"/>
  <c r="AP328" i="11" s="1"/>
  <c r="AP329" i="11" s="1"/>
  <c r="AP330" i="11" s="1"/>
  <c r="AP331" i="11" s="1"/>
  <c r="AP332" i="11" s="1"/>
  <c r="AP333" i="11" s="1"/>
  <c r="AP334" i="11" s="1"/>
  <c r="AP335" i="11" s="1"/>
  <c r="AP336" i="11" s="1"/>
  <c r="AP337" i="11" s="1"/>
  <c r="AP338" i="11" s="1"/>
  <c r="AP339" i="11" s="1"/>
  <c r="AP340" i="11" s="1"/>
  <c r="AP341" i="11" s="1"/>
  <c r="AP342" i="11" s="1"/>
  <c r="AP343" i="11" s="1"/>
  <c r="AP344" i="11" s="1"/>
  <c r="AP345" i="11" s="1"/>
  <c r="AP346" i="11" s="1"/>
  <c r="AP347" i="11" s="1"/>
  <c r="AP348" i="11" s="1"/>
  <c r="AP349" i="11" s="1"/>
  <c r="AP350" i="11" s="1"/>
  <c r="AP351" i="11" s="1"/>
  <c r="AP352" i="11" s="1"/>
  <c r="AP353" i="11" s="1"/>
  <c r="AP354" i="11" s="1"/>
  <c r="AP355" i="11" s="1"/>
  <c r="AP356" i="11" s="1"/>
  <c r="AP357" i="11" s="1"/>
  <c r="AP358" i="11" s="1"/>
  <c r="AP359" i="11" s="1"/>
  <c r="AP360" i="11" s="1"/>
  <c r="AP361" i="11" s="1"/>
  <c r="AP362" i="11" s="1"/>
  <c r="AP363" i="11" s="1"/>
  <c r="AP364" i="11" s="1"/>
  <c r="AP365" i="11" s="1"/>
  <c r="AP366" i="11" s="1"/>
  <c r="AP367" i="11" s="1"/>
  <c r="AP368" i="11" s="1"/>
  <c r="AP369" i="11" s="1"/>
  <c r="AP370" i="11" s="1"/>
  <c r="AP371" i="11" s="1"/>
  <c r="AP372" i="11" s="1"/>
  <c r="AP373" i="11" s="1"/>
  <c r="AP374" i="11" s="1"/>
  <c r="AP375" i="11" s="1"/>
  <c r="AP376" i="11" s="1"/>
  <c r="AP377" i="11" s="1"/>
  <c r="AP378" i="11" s="1"/>
  <c r="AP379" i="11" s="1"/>
  <c r="AP380" i="11" s="1"/>
  <c r="AP381" i="11" s="1"/>
  <c r="AP382" i="11" s="1"/>
  <c r="AP383" i="11" s="1"/>
  <c r="AP384" i="11" s="1"/>
  <c r="AP385" i="11" s="1"/>
  <c r="AP386" i="11" s="1"/>
  <c r="AP387" i="11" s="1"/>
  <c r="AP388" i="11" s="1"/>
  <c r="AP389" i="11" s="1"/>
  <c r="AP390" i="11" s="1"/>
  <c r="AP391" i="11" s="1"/>
  <c r="AP392" i="11" s="1"/>
  <c r="AP393" i="11" s="1"/>
  <c r="AP394" i="11" s="1"/>
  <c r="AP395" i="11" s="1"/>
  <c r="AP396" i="11" s="1"/>
  <c r="AP397" i="11" s="1"/>
  <c r="AP398" i="11" s="1"/>
  <c r="AP399" i="11" s="1"/>
  <c r="AP400" i="11" s="1"/>
  <c r="AP401" i="11" s="1"/>
  <c r="AP402" i="11" s="1"/>
  <c r="AP403" i="11" s="1"/>
  <c r="AP404" i="11" s="1"/>
  <c r="AP405" i="11" s="1"/>
  <c r="AP406" i="11" s="1"/>
  <c r="AP407" i="11" s="1"/>
  <c r="AP408" i="11" s="1"/>
  <c r="AP409" i="11" s="1"/>
  <c r="AP410" i="11" s="1"/>
  <c r="AP411" i="11" s="1"/>
  <c r="AP412" i="11" s="1"/>
  <c r="AP413" i="11" s="1"/>
  <c r="AP414" i="11" s="1"/>
  <c r="AP415" i="11" s="1"/>
  <c r="AP416" i="11" s="1"/>
  <c r="AP417" i="11" s="1"/>
  <c r="AP418" i="11" s="1"/>
  <c r="AP419" i="11" s="1"/>
  <c r="AP420" i="11" s="1"/>
  <c r="AP421" i="11" s="1"/>
  <c r="AP422" i="11" s="1"/>
  <c r="AP423" i="11" s="1"/>
  <c r="AP424" i="11" s="1"/>
  <c r="AP425" i="11" s="1"/>
  <c r="AP426" i="11" s="1"/>
  <c r="AP427" i="11" s="1"/>
  <c r="AP428" i="11" s="1"/>
  <c r="AP429" i="11" s="1"/>
  <c r="AP430" i="11" s="1"/>
  <c r="AP431" i="11" s="1"/>
  <c r="AP432" i="11" s="1"/>
  <c r="AP433" i="11" s="1"/>
  <c r="AP434" i="11" s="1"/>
  <c r="AP435" i="11" s="1"/>
  <c r="AP436" i="11" s="1"/>
  <c r="AP437" i="11" s="1"/>
  <c r="AP438" i="11" s="1"/>
  <c r="AP439" i="11" s="1"/>
  <c r="AP440" i="11" s="1"/>
  <c r="AP441" i="11" s="1"/>
  <c r="AP442" i="11" s="1"/>
  <c r="AP443" i="11" s="1"/>
  <c r="AP444" i="11" s="1"/>
  <c r="AP445" i="11" s="1"/>
  <c r="AP446" i="11" s="1"/>
  <c r="AP447" i="11" s="1"/>
  <c r="AP448" i="11" s="1"/>
  <c r="AP449" i="11" s="1"/>
  <c r="AP450" i="11" s="1"/>
  <c r="AP451" i="11" s="1"/>
  <c r="AP452" i="11" s="1"/>
  <c r="AP453" i="11" s="1"/>
  <c r="AP454" i="11" s="1"/>
  <c r="AP455" i="11" s="1"/>
  <c r="AP456" i="11" s="1"/>
  <c r="AP457" i="11" s="1"/>
  <c r="AP458" i="11" s="1"/>
  <c r="AP459" i="11" s="1"/>
  <c r="AP460" i="11" s="1"/>
  <c r="AP461" i="11" s="1"/>
  <c r="AP462" i="11" s="1"/>
  <c r="AP463" i="11" s="1"/>
  <c r="AP464" i="11" s="1"/>
  <c r="AP465" i="11" s="1"/>
  <c r="AP466" i="11" s="1"/>
  <c r="AP467" i="11" s="1"/>
  <c r="AP468" i="11" s="1"/>
  <c r="AP469" i="11" s="1"/>
  <c r="AP470" i="11" s="1"/>
  <c r="AP471" i="11" s="1"/>
  <c r="AP472" i="11" s="1"/>
  <c r="AP473" i="11" s="1"/>
  <c r="AP474" i="11" s="1"/>
  <c r="AP475" i="11" s="1"/>
  <c r="AP476" i="11" s="1"/>
  <c r="AP477" i="11" s="1"/>
  <c r="AP478" i="11" s="1"/>
  <c r="AP479" i="11" s="1"/>
  <c r="AP480" i="11" s="1"/>
  <c r="AP481" i="11" s="1"/>
  <c r="AP482" i="11" s="1"/>
  <c r="AP483" i="11" s="1"/>
  <c r="AP484" i="11" s="1"/>
  <c r="AP485" i="11" s="1"/>
  <c r="AP486" i="11" s="1"/>
  <c r="AP487" i="11" s="1"/>
  <c r="AP488" i="11" s="1"/>
  <c r="AP489" i="11" s="1"/>
  <c r="AP490" i="11" s="1"/>
  <c r="AP491" i="11" s="1"/>
  <c r="AP492" i="11" s="1"/>
  <c r="AP493" i="11" s="1"/>
  <c r="AP494" i="11" s="1"/>
  <c r="AP495" i="11" s="1"/>
  <c r="AP496" i="11" s="1"/>
  <c r="AP497" i="11" s="1"/>
  <c r="O21" i="11"/>
  <c r="N21" i="11" s="1"/>
  <c r="O40" i="11"/>
  <c r="N40" i="11" s="1"/>
  <c r="O43" i="11"/>
  <c r="N43" i="11" s="1"/>
  <c r="F4" i="18"/>
  <c r="O29" i="11"/>
  <c r="N29" i="11" s="1"/>
  <c r="O33" i="11"/>
  <c r="N33" i="11" s="1"/>
  <c r="O35" i="11"/>
  <c r="N35" i="11" s="1"/>
  <c r="O37" i="11"/>
  <c r="N37" i="11" s="1"/>
  <c r="D5" i="2"/>
  <c r="O39" i="11"/>
  <c r="N39" i="11" s="1"/>
  <c r="P27" i="1"/>
  <c r="AE18" i="11" s="1"/>
  <c r="AE19" i="11" s="1"/>
  <c r="AE20" i="11" s="1"/>
  <c r="AE21" i="11" s="1"/>
  <c r="AE22" i="11" s="1"/>
  <c r="S90" i="20"/>
  <c r="X90" i="20"/>
  <c r="Y90" i="20"/>
  <c r="AD90" i="20"/>
  <c r="O90" i="20"/>
  <c r="Z90" i="20"/>
  <c r="T90" i="20"/>
  <c r="R90" i="20"/>
  <c r="AB90" i="20"/>
  <c r="W90" i="20"/>
  <c r="K90" i="20"/>
  <c r="Q90" i="20"/>
  <c r="N90" i="20"/>
  <c r="M90" i="20"/>
  <c r="P90" i="20"/>
  <c r="J90" i="20"/>
  <c r="AA90" i="20"/>
  <c r="U90" i="20"/>
  <c r="AG90" i="20"/>
  <c r="L90" i="20"/>
  <c r="AF90" i="20"/>
  <c r="AE90" i="20"/>
  <c r="V90" i="20"/>
  <c r="AC90" i="20"/>
  <c r="Y98" i="20" l="1"/>
  <c r="U98" i="20"/>
  <c r="W98" i="20"/>
  <c r="S98" i="20"/>
  <c r="N98" i="20"/>
  <c r="D98" i="20" s="1"/>
  <c r="K98" i="20"/>
  <c r="J98" i="20"/>
  <c r="C98" i="20" s="1"/>
  <c r="V98" i="20"/>
  <c r="F98" i="20" s="1"/>
  <c r="L98" i="20"/>
  <c r="M98" i="20"/>
  <c r="AG98" i="20"/>
  <c r="O98" i="20"/>
  <c r="AE98" i="20"/>
  <c r="AF98" i="20"/>
  <c r="AC98" i="20"/>
  <c r="Q98" i="20"/>
  <c r="AD98" i="20"/>
  <c r="H98" i="20" s="1"/>
  <c r="AB98" i="20"/>
  <c r="P98" i="20"/>
  <c r="R98" i="20"/>
  <c r="E98" i="20" s="1"/>
  <c r="AA98" i="20"/>
  <c r="Z98" i="20"/>
  <c r="G98" i="20" s="1"/>
  <c r="X98" i="20"/>
  <c r="T98" i="20"/>
  <c r="U95" i="20"/>
  <c r="AF95" i="20"/>
  <c r="AE95" i="20"/>
  <c r="AD95" i="20"/>
  <c r="H95" i="20" s="1"/>
  <c r="P95" i="20"/>
  <c r="R95" i="20"/>
  <c r="E95" i="20" s="1"/>
  <c r="W95" i="20"/>
  <c r="V95" i="20"/>
  <c r="F95" i="20" s="1"/>
  <c r="K95" i="20"/>
  <c r="N95" i="20"/>
  <c r="D95" i="20" s="1"/>
  <c r="Z95" i="20"/>
  <c r="G95" i="20" s="1"/>
  <c r="M95" i="20"/>
  <c r="AG95" i="20"/>
  <c r="S95" i="20"/>
  <c r="AC94" i="20"/>
  <c r="AF94" i="20"/>
  <c r="W94" i="20"/>
  <c r="U94" i="20"/>
  <c r="X94" i="20"/>
  <c r="V94" i="20"/>
  <c r="F94" i="20" s="1"/>
  <c r="Q94" i="20"/>
  <c r="P94" i="20"/>
  <c r="K94" i="20"/>
  <c r="Z94" i="20"/>
  <c r="G94" i="20" s="1"/>
  <c r="Q95" i="20"/>
  <c r="L95" i="20"/>
  <c r="X99" i="20"/>
  <c r="AB99" i="20"/>
  <c r="Q99" i="20"/>
  <c r="AE99" i="20"/>
  <c r="K99" i="20"/>
  <c r="V99" i="20"/>
  <c r="F99" i="20" s="1"/>
  <c r="Y99" i="20"/>
  <c r="U99" i="20"/>
  <c r="P99" i="20"/>
  <c r="S99" i="20"/>
  <c r="J99" i="20"/>
  <c r="C99" i="20" s="1"/>
  <c r="R99" i="20"/>
  <c r="E99" i="20" s="1"/>
  <c r="W99" i="20"/>
  <c r="L99" i="20"/>
  <c r="M99" i="20"/>
  <c r="Z99" i="20"/>
  <c r="G99" i="20" s="1"/>
  <c r="AF99" i="20"/>
  <c r="AD99" i="20"/>
  <c r="H99" i="20" s="1"/>
  <c r="T99" i="20"/>
  <c r="N99" i="20"/>
  <c r="D99" i="20" s="1"/>
  <c r="AG99" i="20"/>
  <c r="AC99" i="20"/>
  <c r="O99" i="20"/>
  <c r="AA99" i="20"/>
  <c r="Z92" i="20"/>
  <c r="G92" i="20" s="1"/>
  <c r="AE92" i="20"/>
  <c r="K92" i="20"/>
  <c r="AF92" i="20"/>
  <c r="X92" i="20"/>
  <c r="R92" i="20"/>
  <c r="E92" i="20" s="1"/>
  <c r="AB92" i="20"/>
  <c r="N92" i="20"/>
  <c r="D92" i="20" s="1"/>
  <c r="AG92" i="20"/>
  <c r="J92" i="20"/>
  <c r="C92" i="20" s="1"/>
  <c r="Q92" i="20"/>
  <c r="T92" i="20"/>
  <c r="Y92" i="20"/>
  <c r="U92" i="20"/>
  <c r="P92" i="20"/>
  <c r="V92" i="20"/>
  <c r="F92" i="20" s="1"/>
  <c r="S92" i="20"/>
  <c r="M92" i="20"/>
  <c r="O92" i="20"/>
  <c r="W92" i="20"/>
  <c r="AA92" i="20"/>
  <c r="L92" i="20"/>
  <c r="AD92" i="20"/>
  <c r="H92" i="20" s="1"/>
  <c r="AC92" i="20"/>
  <c r="O95" i="20"/>
  <c r="AA95" i="20"/>
  <c r="X95" i="20"/>
  <c r="Y95" i="20"/>
  <c r="AB95" i="20"/>
  <c r="J94" i="20"/>
  <c r="C94" i="20" s="1"/>
  <c r="Q96" i="20"/>
  <c r="AE96" i="20"/>
  <c r="R96" i="20"/>
  <c r="E96" i="20" s="1"/>
  <c r="AC96" i="20"/>
  <c r="N96" i="20"/>
  <c r="D96" i="20" s="1"/>
  <c r="Y96" i="20"/>
  <c r="V96" i="20"/>
  <c r="F96" i="20" s="1"/>
  <c r="AB96" i="20"/>
  <c r="X96" i="20"/>
  <c r="U96" i="20"/>
  <c r="J96" i="20"/>
  <c r="C96" i="20" s="1"/>
  <c r="W96" i="20"/>
  <c r="T96" i="20"/>
  <c r="M96" i="20"/>
  <c r="L96" i="20"/>
  <c r="AA96" i="20"/>
  <c r="AG96" i="20"/>
  <c r="O96" i="20"/>
  <c r="AD96" i="20"/>
  <c r="H96" i="20" s="1"/>
  <c r="Z96" i="20"/>
  <c r="G96" i="20" s="1"/>
  <c r="AF96" i="20"/>
  <c r="P96" i="20"/>
  <c r="S96" i="20"/>
  <c r="K96" i="20"/>
  <c r="C90" i="20"/>
  <c r="P22" i="11"/>
  <c r="P28" i="11"/>
  <c r="P36" i="11"/>
  <c r="P21" i="11"/>
  <c r="E258" i="11"/>
  <c r="E259" i="11" s="1"/>
  <c r="E260" i="11" s="1"/>
  <c r="E261" i="11" s="1"/>
  <c r="E262" i="11" s="1"/>
  <c r="E263" i="11" s="1"/>
  <c r="E264" i="11" s="1"/>
  <c r="E265" i="11" s="1"/>
  <c r="E266" i="11" s="1"/>
  <c r="E267" i="11" s="1"/>
  <c r="E268" i="11" s="1"/>
  <c r="E269" i="11" s="1"/>
  <c r="E270" i="11" s="1"/>
  <c r="E271" i="11" s="1"/>
  <c r="E272" i="11" s="1"/>
  <c r="E273" i="11" s="1"/>
  <c r="E274" i="11" s="1"/>
  <c r="E275" i="11" s="1"/>
  <c r="E276" i="11" s="1"/>
  <c r="E277" i="11" s="1"/>
  <c r="E278" i="11" s="1"/>
  <c r="E279" i="11" s="1"/>
  <c r="E280" i="11" s="1"/>
  <c r="E281" i="11" s="1"/>
  <c r="E282" i="11" s="1"/>
  <c r="E283" i="11" s="1"/>
  <c r="E284" i="11" s="1"/>
  <c r="E285" i="11" s="1"/>
  <c r="E286" i="11" s="1"/>
  <c r="E287" i="11" s="1"/>
  <c r="E288" i="11" s="1"/>
  <c r="E289" i="11" s="1"/>
  <c r="E290" i="11" s="1"/>
  <c r="E291" i="11" s="1"/>
  <c r="E292" i="11" s="1"/>
  <c r="E293" i="11" s="1"/>
  <c r="E294" i="11" s="1"/>
  <c r="E295" i="11" s="1"/>
  <c r="E296" i="11" s="1"/>
  <c r="E297" i="11" s="1"/>
  <c r="E298" i="11" s="1"/>
  <c r="E299" i="11" s="1"/>
  <c r="E300" i="11" s="1"/>
  <c r="E301" i="11" s="1"/>
  <c r="E302" i="11" s="1"/>
  <c r="E303" i="11" s="1"/>
  <c r="E304" i="11" s="1"/>
  <c r="E305" i="11" s="1"/>
  <c r="E306" i="11" s="1"/>
  <c r="E307" i="11" s="1"/>
  <c r="E308" i="11" s="1"/>
  <c r="E309" i="11" s="1"/>
  <c r="E310" i="11" s="1"/>
  <c r="E311" i="11" s="1"/>
  <c r="E312" i="11" s="1"/>
  <c r="E313" i="11" s="1"/>
  <c r="E314" i="11" s="1"/>
  <c r="E315" i="11" s="1"/>
  <c r="E316" i="11" s="1"/>
  <c r="E317" i="11" s="1"/>
  <c r="E318" i="11" s="1"/>
  <c r="E319" i="11" s="1"/>
  <c r="E320" i="11" s="1"/>
  <c r="E321" i="11" s="1"/>
  <c r="E322" i="11" s="1"/>
  <c r="E323" i="11" s="1"/>
  <c r="E324" i="11" s="1"/>
  <c r="E325" i="11" s="1"/>
  <c r="E326" i="11" s="1"/>
  <c r="E327" i="11" s="1"/>
  <c r="E328" i="11" s="1"/>
  <c r="E329" i="11" s="1"/>
  <c r="E330" i="11" s="1"/>
  <c r="E331" i="11" s="1"/>
  <c r="E332" i="11" s="1"/>
  <c r="E333" i="11" s="1"/>
  <c r="E334" i="11" s="1"/>
  <c r="E335" i="11" s="1"/>
  <c r="E336" i="11" s="1"/>
  <c r="E337" i="11" s="1"/>
  <c r="E338" i="11" s="1"/>
  <c r="E339" i="11" s="1"/>
  <c r="E340" i="11" s="1"/>
  <c r="E341" i="11" s="1"/>
  <c r="E342" i="11" s="1"/>
  <c r="E343" i="11" s="1"/>
  <c r="E344" i="11" s="1"/>
  <c r="E345" i="11" s="1"/>
  <c r="E346" i="11" s="1"/>
  <c r="E347" i="11" s="1"/>
  <c r="E348" i="11" s="1"/>
  <c r="E349" i="11" s="1"/>
  <c r="E350" i="11" s="1"/>
  <c r="E351" i="11" s="1"/>
  <c r="E352" i="11" s="1"/>
  <c r="E353" i="11" s="1"/>
  <c r="E354" i="11" s="1"/>
  <c r="E355" i="11" s="1"/>
  <c r="E356" i="11" s="1"/>
  <c r="E357" i="11" s="1"/>
  <c r="E358" i="11" s="1"/>
  <c r="E359" i="11" s="1"/>
  <c r="E360" i="11" s="1"/>
  <c r="E361" i="11" s="1"/>
  <c r="E362" i="11" s="1"/>
  <c r="E363" i="11" s="1"/>
  <c r="E364" i="11" s="1"/>
  <c r="E365" i="11" s="1"/>
  <c r="E366" i="11" s="1"/>
  <c r="E367" i="11" s="1"/>
  <c r="E368" i="11" s="1"/>
  <c r="E369" i="11" s="1"/>
  <c r="E370" i="11" s="1"/>
  <c r="E371" i="11" s="1"/>
  <c r="E372" i="11" s="1"/>
  <c r="E373" i="11" s="1"/>
  <c r="E374" i="11" s="1"/>
  <c r="E375" i="11" s="1"/>
  <c r="E376" i="11" s="1"/>
  <c r="E377" i="11" s="1"/>
  <c r="E378" i="11" s="1"/>
  <c r="E379" i="11" s="1"/>
  <c r="E380" i="11" s="1"/>
  <c r="E381" i="11" s="1"/>
  <c r="E382" i="11" s="1"/>
  <c r="E383" i="11" s="1"/>
  <c r="E384" i="11" s="1"/>
  <c r="E385" i="11" s="1"/>
  <c r="E386" i="11" s="1"/>
  <c r="E387" i="11" s="1"/>
  <c r="E388" i="11" s="1"/>
  <c r="E389" i="11" s="1"/>
  <c r="E390" i="11" s="1"/>
  <c r="E391" i="11" s="1"/>
  <c r="E392" i="11" s="1"/>
  <c r="E393" i="11" s="1"/>
  <c r="E394" i="11" s="1"/>
  <c r="E395" i="11" s="1"/>
  <c r="E396" i="11" s="1"/>
  <c r="E397" i="11" s="1"/>
  <c r="E398" i="11" s="1"/>
  <c r="E399" i="11" s="1"/>
  <c r="E400" i="11" s="1"/>
  <c r="E401" i="11" s="1"/>
  <c r="E402" i="11" s="1"/>
  <c r="E403" i="11" s="1"/>
  <c r="E404" i="11" s="1"/>
  <c r="E405" i="11" s="1"/>
  <c r="E406" i="11" s="1"/>
  <c r="E407" i="11" s="1"/>
  <c r="E408" i="11" s="1"/>
  <c r="E409" i="11" s="1"/>
  <c r="E410" i="11" s="1"/>
  <c r="E411" i="11" s="1"/>
  <c r="E412" i="11" s="1"/>
  <c r="E413" i="11" s="1"/>
  <c r="E414" i="11" s="1"/>
  <c r="E415" i="11" s="1"/>
  <c r="E416" i="11" s="1"/>
  <c r="E417" i="11" s="1"/>
  <c r="E418" i="11" s="1"/>
  <c r="E419" i="11" s="1"/>
  <c r="E420" i="11" s="1"/>
  <c r="E421" i="11" s="1"/>
  <c r="E422" i="11" s="1"/>
  <c r="E423" i="11" s="1"/>
  <c r="E424" i="11" s="1"/>
  <c r="E425" i="11" s="1"/>
  <c r="E426" i="11" s="1"/>
  <c r="E427" i="11" s="1"/>
  <c r="E428" i="11" s="1"/>
  <c r="E429" i="11" s="1"/>
  <c r="E430" i="11" s="1"/>
  <c r="E431" i="11" s="1"/>
  <c r="E432" i="11" s="1"/>
  <c r="E433" i="11" s="1"/>
  <c r="E434" i="11" s="1"/>
  <c r="E435" i="11" s="1"/>
  <c r="E436" i="11" s="1"/>
  <c r="E437" i="11" s="1"/>
  <c r="E438" i="11" s="1"/>
  <c r="E439" i="11" s="1"/>
  <c r="E440" i="11" s="1"/>
  <c r="E441" i="11" s="1"/>
  <c r="E442" i="11" s="1"/>
  <c r="E443" i="11" s="1"/>
  <c r="E444" i="11" s="1"/>
  <c r="E445" i="11" s="1"/>
  <c r="E446" i="11" s="1"/>
  <c r="E447" i="11" s="1"/>
  <c r="E448" i="11" s="1"/>
  <c r="E449" i="11" s="1"/>
  <c r="E450" i="11" s="1"/>
  <c r="E451" i="11" s="1"/>
  <c r="E452" i="11" s="1"/>
  <c r="E453" i="11" s="1"/>
  <c r="E454" i="11" s="1"/>
  <c r="E455" i="11" s="1"/>
  <c r="E456" i="11" s="1"/>
  <c r="E457" i="11" s="1"/>
  <c r="E458" i="11" s="1"/>
  <c r="E459" i="11" s="1"/>
  <c r="E460" i="11" s="1"/>
  <c r="E461" i="11" s="1"/>
  <c r="E462" i="11" s="1"/>
  <c r="E463" i="11" s="1"/>
  <c r="E464" i="11" s="1"/>
  <c r="E465" i="11" s="1"/>
  <c r="E466" i="11" s="1"/>
  <c r="E467" i="11" s="1"/>
  <c r="E468" i="11" s="1"/>
  <c r="E469" i="11" s="1"/>
  <c r="E470" i="11" s="1"/>
  <c r="E471" i="11" s="1"/>
  <c r="E472" i="11" s="1"/>
  <c r="E473" i="11" s="1"/>
  <c r="E474" i="11" s="1"/>
  <c r="E475" i="11" s="1"/>
  <c r="E476" i="11" s="1"/>
  <c r="E477" i="11" s="1"/>
  <c r="E478" i="11" s="1"/>
  <c r="E479" i="11" s="1"/>
  <c r="E480" i="11" s="1"/>
  <c r="E481" i="11" s="1"/>
  <c r="E482" i="11" s="1"/>
  <c r="E483" i="11" s="1"/>
  <c r="E484" i="11" s="1"/>
  <c r="E485" i="11" s="1"/>
  <c r="E486" i="11" s="1"/>
  <c r="E487" i="11" s="1"/>
  <c r="E488" i="11" s="1"/>
  <c r="E489" i="11" s="1"/>
  <c r="E490" i="11" s="1"/>
  <c r="E491" i="11" s="1"/>
  <c r="E492" i="11" s="1"/>
  <c r="E493" i="11" s="1"/>
  <c r="E494" i="11" s="1"/>
  <c r="E495" i="11" s="1"/>
  <c r="E496" i="11" s="1"/>
  <c r="E497" i="11" s="1"/>
  <c r="P18" i="11"/>
  <c r="P29" i="11"/>
  <c r="P32" i="11"/>
  <c r="P43" i="11"/>
  <c r="P52" i="11"/>
  <c r="P34" i="11"/>
  <c r="P40" i="11"/>
  <c r="P44" i="11"/>
  <c r="P49" i="11"/>
  <c r="P60" i="11"/>
  <c r="P65" i="11"/>
  <c r="P24" i="11"/>
  <c r="P35" i="11"/>
  <c r="P38" i="11"/>
  <c r="P46" i="11"/>
  <c r="P51" i="11"/>
  <c r="P55" i="11"/>
  <c r="P23" i="11"/>
  <c r="P27" i="11"/>
  <c r="P57" i="11"/>
  <c r="P61" i="11"/>
  <c r="P86" i="11"/>
  <c r="P91" i="11"/>
  <c r="P109" i="11"/>
  <c r="P114" i="11"/>
  <c r="P122" i="11"/>
  <c r="P20" i="11"/>
  <c r="P25" i="11"/>
  <c r="P54" i="11"/>
  <c r="P56" i="11"/>
  <c r="P80" i="11"/>
  <c r="P85" i="11"/>
  <c r="P88" i="11"/>
  <c r="P98" i="11"/>
  <c r="P101" i="11"/>
  <c r="P26" i="11"/>
  <c r="P58" i="11"/>
  <c r="P66" i="11"/>
  <c r="P72" i="11"/>
  <c r="P102" i="11"/>
  <c r="P105" i="11"/>
  <c r="P112" i="11"/>
  <c r="P118" i="11"/>
  <c r="P157" i="11"/>
  <c r="P160" i="11"/>
  <c r="P171" i="11"/>
  <c r="P172" i="11"/>
  <c r="P175" i="11"/>
  <c r="P180" i="11"/>
  <c r="P195" i="11"/>
  <c r="P203" i="11"/>
  <c r="P209" i="11"/>
  <c r="P218" i="11"/>
  <c r="P50" i="11"/>
  <c r="P77" i="11"/>
  <c r="P30" i="11"/>
  <c r="P33" i="11"/>
  <c r="P37" i="11"/>
  <c r="P39" i="11"/>
  <c r="P41" i="11"/>
  <c r="P47" i="11"/>
  <c r="P48" i="11"/>
  <c r="P31" i="11"/>
  <c r="P59" i="11"/>
  <c r="P62" i="11"/>
  <c r="P63" i="11"/>
  <c r="P70" i="11"/>
  <c r="P74" i="11"/>
  <c r="P64" i="11"/>
  <c r="P69" i="11"/>
  <c r="P79" i="11"/>
  <c r="P90" i="11"/>
  <c r="P95" i="11"/>
  <c r="P100" i="11"/>
  <c r="P117" i="11"/>
  <c r="P124" i="11"/>
  <c r="P134" i="11"/>
  <c r="P139" i="11"/>
  <c r="P142" i="11"/>
  <c r="P146" i="11"/>
  <c r="P150" i="11"/>
  <c r="P158" i="11"/>
  <c r="P177" i="11"/>
  <c r="P178" i="11"/>
  <c r="P181" i="11"/>
  <c r="P182" i="11"/>
  <c r="P185" i="11"/>
  <c r="P186" i="11"/>
  <c r="P189" i="11"/>
  <c r="P193" i="11"/>
  <c r="P202" i="11"/>
  <c r="P208" i="11"/>
  <c r="P213" i="11"/>
  <c r="P221" i="11"/>
  <c r="P42" i="11"/>
  <c r="P71" i="11"/>
  <c r="P75" i="11"/>
  <c r="P104" i="11"/>
  <c r="P108" i="11"/>
  <c r="P111" i="11"/>
  <c r="P121" i="11"/>
  <c r="P128" i="11"/>
  <c r="P137" i="11"/>
  <c r="P155" i="11"/>
  <c r="P19" i="11"/>
  <c r="P45" i="11"/>
  <c r="P53" i="11"/>
  <c r="P68" i="11"/>
  <c r="P115" i="11"/>
  <c r="P131" i="11"/>
  <c r="P140" i="11"/>
  <c r="P144" i="11"/>
  <c r="P148" i="11"/>
  <c r="P149" i="11"/>
  <c r="P152" i="11"/>
  <c r="P161" i="11"/>
  <c r="P164" i="11"/>
  <c r="P174" i="11"/>
  <c r="P191" i="11"/>
  <c r="P194" i="11"/>
  <c r="P204" i="11"/>
  <c r="P205" i="11"/>
  <c r="P207" i="11"/>
  <c r="P107" i="11"/>
  <c r="P130" i="11"/>
  <c r="P132" i="11"/>
  <c r="P138" i="11"/>
  <c r="P141" i="11"/>
  <c r="P145" i="11"/>
  <c r="P153" i="11"/>
  <c r="P162" i="11"/>
  <c r="P163" i="11"/>
  <c r="P167" i="11"/>
  <c r="P168" i="11"/>
  <c r="P176" i="11"/>
  <c r="P201" i="11"/>
  <c r="P76" i="11"/>
  <c r="P116" i="11"/>
  <c r="P120" i="11"/>
  <c r="P133" i="11"/>
  <c r="P165" i="11"/>
  <c r="P169" i="11"/>
  <c r="P67" i="11"/>
  <c r="P97" i="11"/>
  <c r="P81" i="11"/>
  <c r="P83" i="11"/>
  <c r="P89" i="11"/>
  <c r="P94" i="11"/>
  <c r="P73" i="11"/>
  <c r="P82" i="11"/>
  <c r="P87" i="11"/>
  <c r="P84" i="11"/>
  <c r="P103" i="11"/>
  <c r="P113" i="11"/>
  <c r="P126" i="11"/>
  <c r="P129" i="11"/>
  <c r="P143" i="11"/>
  <c r="P110" i="11"/>
  <c r="P125" i="11"/>
  <c r="P166" i="11"/>
  <c r="P173" i="11"/>
  <c r="P187" i="11"/>
  <c r="P216" i="11"/>
  <c r="P225" i="11"/>
  <c r="P243" i="11"/>
  <c r="P251" i="11"/>
  <c r="P252" i="11"/>
  <c r="P265" i="11"/>
  <c r="P274" i="11"/>
  <c r="P282" i="11"/>
  <c r="P119" i="11"/>
  <c r="P93" i="11"/>
  <c r="P106" i="11"/>
  <c r="P123" i="11"/>
  <c r="P151" i="11"/>
  <c r="P78" i="11"/>
  <c r="P96" i="11"/>
  <c r="P156" i="11"/>
  <c r="P170" i="11"/>
  <c r="P92" i="11"/>
  <c r="P99" i="11"/>
  <c r="P147" i="11"/>
  <c r="P135" i="11"/>
  <c r="P159" i="11"/>
  <c r="P183" i="11"/>
  <c r="P233" i="11"/>
  <c r="P242" i="11"/>
  <c r="P136" i="11"/>
  <c r="P127" i="11"/>
  <c r="P192" i="11"/>
  <c r="P196" i="11"/>
  <c r="P199" i="11"/>
  <c r="P220" i="11"/>
  <c r="P223" i="11"/>
  <c r="P224" i="11"/>
  <c r="P226" i="11"/>
  <c r="P235" i="11"/>
  <c r="P236" i="11"/>
  <c r="P244" i="11"/>
  <c r="P249" i="11"/>
  <c r="P257" i="11"/>
  <c r="P179" i="11"/>
  <c r="P206" i="11"/>
  <c r="P237" i="11"/>
  <c r="P253" i="11"/>
  <c r="P262" i="11"/>
  <c r="P264" i="11"/>
  <c r="P266" i="11"/>
  <c r="P268" i="11"/>
  <c r="P288" i="11"/>
  <c r="P301" i="11"/>
  <c r="P313" i="11"/>
  <c r="P314" i="11"/>
  <c r="P319" i="11"/>
  <c r="P154" i="11"/>
  <c r="P198" i="11"/>
  <c r="P211" i="11"/>
  <c r="P215" i="11"/>
  <c r="P230" i="11"/>
  <c r="P231" i="11"/>
  <c r="P250" i="11"/>
  <c r="P255" i="11"/>
  <c r="P261" i="11"/>
  <c r="P267" i="11"/>
  <c r="P285" i="11"/>
  <c r="P287" i="11"/>
  <c r="P188" i="11"/>
  <c r="P200" i="11"/>
  <c r="P184" i="11"/>
  <c r="P190" i="11"/>
  <c r="P217" i="11"/>
  <c r="P238" i="11"/>
  <c r="P245" i="11"/>
  <c r="P247" i="11"/>
  <c r="P256" i="11"/>
  <c r="P259" i="11"/>
  <c r="P260" i="11"/>
  <c r="P277" i="11"/>
  <c r="P294" i="11"/>
  <c r="P299" i="11"/>
  <c r="P214" i="11"/>
  <c r="P222" i="11"/>
  <c r="P229" i="11"/>
  <c r="P241" i="11"/>
  <c r="P254" i="11"/>
  <c r="P281" i="11"/>
  <c r="P219" i="11"/>
  <c r="P228" i="11"/>
  <c r="P232" i="11"/>
  <c r="P240" i="11"/>
  <c r="P246" i="11"/>
  <c r="P272" i="11"/>
  <c r="P280" i="11"/>
  <c r="P210" i="11"/>
  <c r="P234" i="11"/>
  <c r="P273" i="11"/>
  <c r="P276" i="11"/>
  <c r="P227" i="11"/>
  <c r="P270" i="11"/>
  <c r="P271" i="11"/>
  <c r="P283" i="11"/>
  <c r="P300" i="11"/>
  <c r="P305" i="11"/>
  <c r="P320" i="11"/>
  <c r="P321" i="11"/>
  <c r="P323" i="11"/>
  <c r="P327" i="11"/>
  <c r="P335" i="11"/>
  <c r="P338" i="11"/>
  <c r="P339" i="11"/>
  <c r="P346" i="11"/>
  <c r="P348" i="11"/>
  <c r="P349" i="11"/>
  <c r="P352" i="11"/>
  <c r="P358" i="11"/>
  <c r="P364" i="11"/>
  <c r="P367" i="11"/>
  <c r="P384" i="11"/>
  <c r="P392" i="11"/>
  <c r="P393" i="11"/>
  <c r="P403" i="11"/>
  <c r="P239" i="11"/>
  <c r="P316" i="11"/>
  <c r="P322" i="11"/>
  <c r="P324" i="11"/>
  <c r="P328" i="11"/>
  <c r="P331" i="11"/>
  <c r="P336" i="11"/>
  <c r="P344" i="11"/>
  <c r="P366" i="11"/>
  <c r="P278" i="11"/>
  <c r="P295" i="11"/>
  <c r="P309" i="11"/>
  <c r="P311" i="11"/>
  <c r="P312" i="11"/>
  <c r="P340" i="11"/>
  <c r="P353" i="11"/>
  <c r="P368" i="11"/>
  <c r="P371" i="11"/>
  <c r="P372" i="11"/>
  <c r="P290" i="11"/>
  <c r="P291" i="11"/>
  <c r="P318" i="11"/>
  <c r="P326" i="11"/>
  <c r="P354" i="11"/>
  <c r="P360" i="11"/>
  <c r="P362" i="11"/>
  <c r="P365" i="11"/>
  <c r="P376" i="11"/>
  <c r="P212" i="11"/>
  <c r="P303" i="11"/>
  <c r="P332" i="11"/>
  <c r="P378" i="11"/>
  <c r="P386" i="11"/>
  <c r="P258" i="11"/>
  <c r="P302" i="11"/>
  <c r="P306" i="11"/>
  <c r="P317" i="11"/>
  <c r="P334" i="11"/>
  <c r="P341" i="11"/>
  <c r="P342" i="11"/>
  <c r="P343" i="11"/>
  <c r="P361" i="11"/>
  <c r="P373" i="11"/>
  <c r="P377" i="11"/>
  <c r="P379" i="11"/>
  <c r="P284" i="11"/>
  <c r="P289" i="11"/>
  <c r="P307" i="11"/>
  <c r="P337" i="11"/>
  <c r="P355" i="11"/>
  <c r="P356" i="11"/>
  <c r="P359" i="11"/>
  <c r="P375" i="11"/>
  <c r="P394" i="11"/>
  <c r="P408" i="11"/>
  <c r="P275" i="11"/>
  <c r="P279" i="11"/>
  <c r="P286" i="11"/>
  <c r="P293" i="11"/>
  <c r="P298" i="11"/>
  <c r="P308" i="11"/>
  <c r="P315" i="11"/>
  <c r="P330" i="11"/>
  <c r="P351" i="11"/>
  <c r="P374" i="11"/>
  <c r="P390" i="11"/>
  <c r="P397" i="11"/>
  <c r="P400" i="11"/>
  <c r="P248" i="11"/>
  <c r="P263" i="11"/>
  <c r="P269" i="11"/>
  <c r="P292" i="11"/>
  <c r="P310" i="11"/>
  <c r="P325" i="11"/>
  <c r="P329" i="11"/>
  <c r="P333" i="11"/>
  <c r="P345" i="11"/>
  <c r="P350" i="11"/>
  <c r="P369" i="11"/>
  <c r="P380" i="11"/>
  <c r="P382" i="11"/>
  <c r="P385" i="11"/>
  <c r="P395" i="11"/>
  <c r="P396" i="11"/>
  <c r="P398" i="11"/>
  <c r="P401" i="11"/>
  <c r="P197" i="11"/>
  <c r="P296" i="11"/>
  <c r="P297" i="11"/>
  <c r="P304" i="11"/>
  <c r="P347" i="11"/>
  <c r="P357" i="11"/>
  <c r="P363" i="11"/>
  <c r="P383" i="11"/>
  <c r="P388" i="11"/>
  <c r="P406" i="11"/>
  <c r="P399" i="11"/>
  <c r="P440" i="11"/>
  <c r="P411" i="11"/>
  <c r="P424" i="11"/>
  <c r="P404" i="11"/>
  <c r="P419" i="11"/>
  <c r="P422" i="11"/>
  <c r="P423" i="11"/>
  <c r="P435" i="11"/>
  <c r="P381" i="11"/>
  <c r="P389" i="11"/>
  <c r="P402" i="11"/>
  <c r="P459" i="11"/>
  <c r="P469" i="11"/>
  <c r="P472" i="11"/>
  <c r="P480" i="11"/>
  <c r="P405" i="11"/>
  <c r="P437" i="11"/>
  <c r="P438" i="11"/>
  <c r="P446" i="11"/>
  <c r="P450" i="11"/>
  <c r="P494" i="11"/>
  <c r="P370" i="11"/>
  <c r="P387" i="11"/>
  <c r="P391" i="11"/>
  <c r="P407" i="11"/>
  <c r="P464" i="11"/>
  <c r="P475" i="11"/>
  <c r="P428" i="11"/>
  <c r="P442" i="11"/>
  <c r="P457" i="11"/>
  <c r="P467" i="11"/>
  <c r="P477" i="11"/>
  <c r="P444" i="11"/>
  <c r="P482" i="11"/>
  <c r="P490" i="11"/>
  <c r="P493" i="11"/>
  <c r="P441" i="11"/>
  <c r="P476" i="11"/>
  <c r="P479" i="11"/>
  <c r="P481" i="11"/>
  <c r="P487" i="11"/>
  <c r="E5" i="2"/>
  <c r="H4" i="18"/>
  <c r="I4" i="18" s="1"/>
  <c r="AB18" i="11"/>
  <c r="AA18" i="11" s="1"/>
  <c r="O171" i="11"/>
  <c r="N170" i="11"/>
  <c r="G4" i="18"/>
  <c r="F33" i="18"/>
  <c r="AE23" i="11"/>
  <c r="P463" i="11" l="1"/>
  <c r="P486" i="11"/>
  <c r="P443" i="11"/>
  <c r="P449" i="11"/>
  <c r="P474" i="11"/>
  <c r="P431" i="11"/>
  <c r="P495" i="11"/>
  <c r="P427" i="11"/>
  <c r="P421" i="11"/>
  <c r="P434" i="11"/>
  <c r="P470" i="11"/>
  <c r="P454" i="11"/>
  <c r="P451" i="11"/>
  <c r="P452" i="11"/>
  <c r="P453" i="11"/>
  <c r="P496" i="11"/>
  <c r="P429" i="11"/>
  <c r="P426" i="11"/>
  <c r="P489" i="11"/>
  <c r="P420" i="11"/>
  <c r="P430" i="11"/>
  <c r="P412" i="11"/>
  <c r="P484" i="11"/>
  <c r="P418" i="11"/>
  <c r="P473" i="11"/>
  <c r="P497" i="11"/>
  <c r="P415" i="11"/>
  <c r="F90" i="20"/>
  <c r="G55" i="20" s="1"/>
  <c r="P409" i="11"/>
  <c r="P416" i="11"/>
  <c r="P468" i="11"/>
  <c r="P439" i="11"/>
  <c r="P492" i="11"/>
  <c r="P410" i="11"/>
  <c r="H90" i="20"/>
  <c r="G90" i="20"/>
  <c r="P465" i="11"/>
  <c r="P425" i="11"/>
  <c r="P491" i="11"/>
  <c r="P471" i="11"/>
  <c r="P478" i="11"/>
  <c r="P447" i="11"/>
  <c r="P461" i="11"/>
  <c r="P485" i="11"/>
  <c r="P432" i="11"/>
  <c r="P448" i="11"/>
  <c r="P414" i="11"/>
  <c r="P436" i="11"/>
  <c r="P460" i="11"/>
  <c r="P488" i="11"/>
  <c r="E90" i="20"/>
  <c r="P466" i="11"/>
  <c r="P455" i="11"/>
  <c r="P445" i="11"/>
  <c r="P456" i="11"/>
  <c r="P483" i="11"/>
  <c r="P417" i="11"/>
  <c r="P413" i="11"/>
  <c r="P433" i="11"/>
  <c r="P458" i="11"/>
  <c r="P462" i="11"/>
  <c r="D90" i="20"/>
  <c r="AB19" i="11"/>
  <c r="O172" i="11"/>
  <c r="N171" i="11"/>
  <c r="AE24" i="11"/>
  <c r="F5" i="2"/>
  <c r="J4" i="18"/>
  <c r="K4" i="18" s="1"/>
  <c r="F35" i="18"/>
  <c r="H33" i="18"/>
  <c r="J33" i="18" s="1"/>
  <c r="H34" i="18"/>
  <c r="F11" i="20"/>
  <c r="D8" i="20"/>
  <c r="D14" i="20"/>
  <c r="G10" i="20"/>
  <c r="E7" i="20"/>
  <c r="D7" i="20"/>
  <c r="C15" i="20"/>
  <c r="C10" i="20"/>
  <c r="F6" i="20"/>
  <c r="F12" i="20"/>
  <c r="D9" i="20"/>
  <c r="E13" i="20"/>
  <c r="E8" i="20"/>
  <c r="E14" i="20"/>
  <c r="C11" i="20"/>
  <c r="F7" i="20"/>
  <c r="G11" i="20"/>
  <c r="G6" i="20"/>
  <c r="G12" i="20"/>
  <c r="E9" i="20"/>
  <c r="C6" i="20"/>
  <c r="E15" i="20"/>
  <c r="D15" i="20"/>
  <c r="D10" i="20"/>
  <c r="F14" i="20"/>
  <c r="D11" i="20"/>
  <c r="G7" i="20"/>
  <c r="G13" i="20"/>
  <c r="F13" i="20"/>
  <c r="F8" i="20"/>
  <c r="D6" i="20"/>
  <c r="F15" i="20"/>
  <c r="C13" i="20"/>
  <c r="F9" i="20"/>
  <c r="D12" i="20"/>
  <c r="C12" i="20"/>
  <c r="C7" i="20"/>
  <c r="G14" i="20"/>
  <c r="E11" i="20"/>
  <c r="C8" i="20"/>
  <c r="C14" i="20"/>
  <c r="F10" i="20"/>
  <c r="E10" i="20"/>
  <c r="D13" i="20"/>
  <c r="G9" i="20"/>
  <c r="E6" i="20"/>
  <c r="G15" i="20"/>
  <c r="E12" i="20"/>
  <c r="C9" i="20"/>
  <c r="G8" i="20"/>
  <c r="W10" i="11"/>
  <c r="W12" i="11"/>
  <c r="W9" i="11"/>
  <c r="W6" i="11"/>
  <c r="W15" i="11"/>
  <c r="W11" i="11"/>
  <c r="W8" i="11"/>
  <c r="W7" i="11"/>
  <c r="W13" i="11"/>
  <c r="W5" i="11"/>
  <c r="W14" i="11"/>
  <c r="T18" i="11"/>
  <c r="T19" i="11" s="1"/>
  <c r="T20" i="11" s="1"/>
  <c r="T21" i="11" s="1"/>
  <c r="T22" i="11" s="1"/>
  <c r="T23" i="11" s="1"/>
  <c r="T24" i="11" s="1"/>
  <c r="T25" i="11" s="1"/>
  <c r="T26" i="11" s="1"/>
  <c r="T27" i="11" s="1"/>
  <c r="T28" i="11" s="1"/>
  <c r="T29" i="11" s="1"/>
  <c r="T30" i="11" s="1"/>
  <c r="T31" i="11" s="1"/>
  <c r="T32" i="11" s="1"/>
  <c r="T33" i="11" s="1"/>
  <c r="T34" i="11" s="1"/>
  <c r="T35" i="11" s="1"/>
  <c r="T36" i="11" s="1"/>
  <c r="T37" i="11" s="1"/>
  <c r="T38" i="11" s="1"/>
  <c r="T39" i="11" s="1"/>
  <c r="T40" i="11" s="1"/>
  <c r="T41" i="11" s="1"/>
  <c r="T42" i="11" s="1"/>
  <c r="T43" i="11" s="1"/>
  <c r="T44" i="11" s="1"/>
  <c r="T45" i="11" s="1"/>
  <c r="T46" i="11" s="1"/>
  <c r="T47" i="11" s="1"/>
  <c r="T48" i="11" s="1"/>
  <c r="T49" i="11" s="1"/>
  <c r="T50" i="11" s="1"/>
  <c r="T51" i="11" s="1"/>
  <c r="T52" i="11" s="1"/>
  <c r="T53" i="11" s="1"/>
  <c r="T54" i="11" s="1"/>
  <c r="T55" i="11" s="1"/>
  <c r="T56" i="11" s="1"/>
  <c r="T57" i="11" s="1"/>
  <c r="T58" i="11" s="1"/>
  <c r="T59" i="11" s="1"/>
  <c r="T60" i="11" s="1"/>
  <c r="T61" i="11" s="1"/>
  <c r="T62" i="11" s="1"/>
  <c r="T63" i="11" s="1"/>
  <c r="T64" i="11" s="1"/>
  <c r="T65" i="11" s="1"/>
  <c r="T66" i="11" s="1"/>
  <c r="T67" i="11" s="1"/>
  <c r="T68" i="11" s="1"/>
  <c r="T69" i="11" s="1"/>
  <c r="T70" i="11" s="1"/>
  <c r="T71" i="11" s="1"/>
  <c r="T72" i="11" s="1"/>
  <c r="T73" i="11" s="1"/>
  <c r="T74" i="11" s="1"/>
  <c r="T75" i="11" s="1"/>
  <c r="T76" i="11" s="1"/>
  <c r="T77" i="11" s="1"/>
  <c r="T78" i="11" s="1"/>
  <c r="T79" i="11" s="1"/>
  <c r="T80" i="11" s="1"/>
  <c r="T81" i="11" s="1"/>
  <c r="T82" i="11" s="1"/>
  <c r="T83" i="11" s="1"/>
  <c r="T84" i="11" s="1"/>
  <c r="T85" i="11" s="1"/>
  <c r="T86" i="11" s="1"/>
  <c r="T87" i="11" s="1"/>
  <c r="T88" i="11" s="1"/>
  <c r="T89" i="11" s="1"/>
  <c r="T90" i="11" s="1"/>
  <c r="T91" i="11" s="1"/>
  <c r="T92" i="11" s="1"/>
  <c r="T93" i="11" s="1"/>
  <c r="T94" i="11" s="1"/>
  <c r="T95" i="11" s="1"/>
  <c r="T96" i="11" s="1"/>
  <c r="T97" i="11" s="1"/>
  <c r="T98" i="11" s="1"/>
  <c r="T99" i="11" s="1"/>
  <c r="T100" i="11" s="1"/>
  <c r="T101" i="11" s="1"/>
  <c r="T102" i="11" s="1"/>
  <c r="T103" i="11" s="1"/>
  <c r="T104" i="11" s="1"/>
  <c r="T105" i="11" s="1"/>
  <c r="T106" i="11" s="1"/>
  <c r="T107" i="11" s="1"/>
  <c r="T108" i="11" s="1"/>
  <c r="T109" i="11" s="1"/>
  <c r="T110" i="11" s="1"/>
  <c r="T111" i="11" s="1"/>
  <c r="T112" i="11" s="1"/>
  <c r="T113" i="11" s="1"/>
  <c r="T114" i="11" s="1"/>
  <c r="T115" i="11" s="1"/>
  <c r="T116" i="11" s="1"/>
  <c r="T117" i="11" s="1"/>
  <c r="T118" i="11" s="1"/>
  <c r="T119" i="11" s="1"/>
  <c r="T120" i="11" s="1"/>
  <c r="T121" i="11" s="1"/>
  <c r="T122" i="11" s="1"/>
  <c r="T123" i="11" s="1"/>
  <c r="T124" i="11" s="1"/>
  <c r="T125" i="11" s="1"/>
  <c r="T126" i="11" s="1"/>
  <c r="T127" i="11" s="1"/>
  <c r="T128" i="11" s="1"/>
  <c r="T129" i="11" s="1"/>
  <c r="T130" i="11" s="1"/>
  <c r="T131" i="11" s="1"/>
  <c r="T132" i="11" s="1"/>
  <c r="T133" i="11" s="1"/>
  <c r="T134" i="11" s="1"/>
  <c r="T135" i="11" s="1"/>
  <c r="T136" i="11" s="1"/>
  <c r="T137" i="11" s="1"/>
  <c r="T138" i="11" s="1"/>
  <c r="T139" i="11" s="1"/>
  <c r="T140" i="11" s="1"/>
  <c r="T141" i="11" s="1"/>
  <c r="T142" i="11" s="1"/>
  <c r="T143" i="11" s="1"/>
  <c r="T144" i="11" s="1"/>
  <c r="T145" i="11" s="1"/>
  <c r="T146" i="11" s="1"/>
  <c r="T147" i="11" s="1"/>
  <c r="T148" i="11" s="1"/>
  <c r="T149" i="11" s="1"/>
  <c r="T150" i="11" s="1"/>
  <c r="T151" i="11" s="1"/>
  <c r="T152" i="11" s="1"/>
  <c r="T153" i="11" s="1"/>
  <c r="T154" i="11" s="1"/>
  <c r="T155" i="11" s="1"/>
  <c r="T156" i="11" s="1"/>
  <c r="T157" i="11" s="1"/>
  <c r="T158" i="11" s="1"/>
  <c r="T159" i="11" s="1"/>
  <c r="T160" i="11" s="1"/>
  <c r="T161" i="11" s="1"/>
  <c r="T162" i="11" s="1"/>
  <c r="T163" i="11" s="1"/>
  <c r="T164" i="11" s="1"/>
  <c r="T165" i="11" s="1"/>
  <c r="T166" i="11" s="1"/>
  <c r="T167" i="11" s="1"/>
  <c r="T168" i="11" s="1"/>
  <c r="T169" i="11" s="1"/>
  <c r="T170" i="11" s="1"/>
  <c r="T171" i="11" s="1"/>
  <c r="T172" i="11" s="1"/>
  <c r="T173" i="11" s="1"/>
  <c r="T174" i="11" s="1"/>
  <c r="T175" i="11" s="1"/>
  <c r="T176" i="11" s="1"/>
  <c r="T177" i="11" s="1"/>
  <c r="T178" i="11" s="1"/>
  <c r="T179" i="11" s="1"/>
  <c r="T180" i="11" s="1"/>
  <c r="T181" i="11" s="1"/>
  <c r="T182" i="11" s="1"/>
  <c r="T183" i="11" s="1"/>
  <c r="T184" i="11" s="1"/>
  <c r="T185" i="11" s="1"/>
  <c r="T186" i="11" s="1"/>
  <c r="T187" i="11" s="1"/>
  <c r="T188" i="11" s="1"/>
  <c r="T189" i="11" s="1"/>
  <c r="T190" i="11" s="1"/>
  <c r="T191" i="11" s="1"/>
  <c r="T192" i="11" s="1"/>
  <c r="T193" i="11" s="1"/>
  <c r="T194" i="11" s="1"/>
  <c r="T195" i="11" s="1"/>
  <c r="T196" i="11" s="1"/>
  <c r="T197" i="11" s="1"/>
  <c r="T198" i="11" s="1"/>
  <c r="T199" i="11" s="1"/>
  <c r="T200" i="11" s="1"/>
  <c r="T201" i="11" s="1"/>
  <c r="T202" i="11" s="1"/>
  <c r="T203" i="11" s="1"/>
  <c r="T204" i="11" s="1"/>
  <c r="T205" i="11" s="1"/>
  <c r="T206" i="11" s="1"/>
  <c r="T207" i="11" s="1"/>
  <c r="T208" i="11" s="1"/>
  <c r="T209" i="11" s="1"/>
  <c r="T210" i="11" s="1"/>
  <c r="T211" i="11" s="1"/>
  <c r="T212" i="11" s="1"/>
  <c r="T213" i="11" s="1"/>
  <c r="T214" i="11" s="1"/>
  <c r="T215" i="11" s="1"/>
  <c r="T216" i="11" s="1"/>
  <c r="T217" i="11" s="1"/>
  <c r="T218" i="11" s="1"/>
  <c r="T219" i="11" s="1"/>
  <c r="T220" i="11" s="1"/>
  <c r="T221" i="11" s="1"/>
  <c r="T222" i="11" s="1"/>
  <c r="T223" i="11" s="1"/>
  <c r="T224" i="11" s="1"/>
  <c r="T225" i="11" s="1"/>
  <c r="T226" i="11" s="1"/>
  <c r="T227" i="11" s="1"/>
  <c r="T228" i="11" s="1"/>
  <c r="T229" i="11" s="1"/>
  <c r="T230" i="11" s="1"/>
  <c r="T231" i="11" s="1"/>
  <c r="T232" i="11" s="1"/>
  <c r="T233" i="11" s="1"/>
  <c r="T234" i="11" s="1"/>
  <c r="T235" i="11" s="1"/>
  <c r="T236" i="11" s="1"/>
  <c r="T237" i="11" s="1"/>
  <c r="T238" i="11" s="1"/>
  <c r="T239" i="11" s="1"/>
  <c r="T240" i="11" s="1"/>
  <c r="T241" i="11" s="1"/>
  <c r="T242" i="11" s="1"/>
  <c r="T243" i="11" s="1"/>
  <c r="T244" i="11" s="1"/>
  <c r="T245" i="11" s="1"/>
  <c r="T246" i="11" s="1"/>
  <c r="T247" i="11" s="1"/>
  <c r="T248" i="11" s="1"/>
  <c r="T249" i="11" s="1"/>
  <c r="T250" i="11" s="1"/>
  <c r="T251" i="11" s="1"/>
  <c r="T252" i="11" s="1"/>
  <c r="T253" i="11" s="1"/>
  <c r="T254" i="11" s="1"/>
  <c r="T255" i="11" s="1"/>
  <c r="T256" i="11" s="1"/>
  <c r="T257" i="11" s="1"/>
  <c r="T258" i="11" s="1"/>
  <c r="T259" i="11" s="1"/>
  <c r="T260" i="11" s="1"/>
  <c r="T261" i="11" s="1"/>
  <c r="T262" i="11" s="1"/>
  <c r="T263" i="11" s="1"/>
  <c r="T264" i="11" s="1"/>
  <c r="T265" i="11" s="1"/>
  <c r="T266" i="11" s="1"/>
  <c r="T267" i="11" s="1"/>
  <c r="T268" i="11" s="1"/>
  <c r="T269" i="11" s="1"/>
  <c r="T270" i="11" s="1"/>
  <c r="T271" i="11" s="1"/>
  <c r="T272" i="11" s="1"/>
  <c r="T273" i="11" s="1"/>
  <c r="T274" i="11" s="1"/>
  <c r="T275" i="11" s="1"/>
  <c r="T276" i="11" s="1"/>
  <c r="T277" i="11" s="1"/>
  <c r="T278" i="11" s="1"/>
  <c r="T279" i="11" s="1"/>
  <c r="T280" i="11" s="1"/>
  <c r="T281" i="11" s="1"/>
  <c r="T282" i="11" s="1"/>
  <c r="T283" i="11" s="1"/>
  <c r="T284" i="11" s="1"/>
  <c r="T285" i="11" s="1"/>
  <c r="T286" i="11" s="1"/>
  <c r="T287" i="11" s="1"/>
  <c r="T288" i="11" s="1"/>
  <c r="T289" i="11" s="1"/>
  <c r="T290" i="11" s="1"/>
  <c r="T291" i="11" s="1"/>
  <c r="T292" i="11" s="1"/>
  <c r="T293" i="11" s="1"/>
  <c r="T294" i="11" s="1"/>
  <c r="T295" i="11" s="1"/>
  <c r="T296" i="11" s="1"/>
  <c r="T297" i="11" s="1"/>
  <c r="T298" i="11" s="1"/>
  <c r="T299" i="11" s="1"/>
  <c r="T300" i="11" s="1"/>
  <c r="T301" i="11" s="1"/>
  <c r="T302" i="11" s="1"/>
  <c r="T303" i="11" s="1"/>
  <c r="T304" i="11" s="1"/>
  <c r="T305" i="11" s="1"/>
  <c r="T306" i="11" s="1"/>
  <c r="T307" i="11" s="1"/>
  <c r="T308" i="11" s="1"/>
  <c r="T309" i="11" s="1"/>
  <c r="T310" i="11" s="1"/>
  <c r="T311" i="11" s="1"/>
  <c r="T312" i="11" s="1"/>
  <c r="T313" i="11" s="1"/>
  <c r="T314" i="11" s="1"/>
  <c r="T315" i="11" s="1"/>
  <c r="T316" i="11" s="1"/>
  <c r="T317" i="11" s="1"/>
  <c r="T318" i="11" s="1"/>
  <c r="T319" i="11" s="1"/>
  <c r="T320" i="11" s="1"/>
  <c r="T321" i="11" s="1"/>
  <c r="T322" i="11" s="1"/>
  <c r="T323" i="11" s="1"/>
  <c r="T324" i="11" s="1"/>
  <c r="T325" i="11" s="1"/>
  <c r="T326" i="11" s="1"/>
  <c r="T327" i="11" s="1"/>
  <c r="T328" i="11" s="1"/>
  <c r="T329" i="11" s="1"/>
  <c r="T330" i="11" s="1"/>
  <c r="T331" i="11" s="1"/>
  <c r="T332" i="11" s="1"/>
  <c r="T333" i="11" s="1"/>
  <c r="T334" i="11" s="1"/>
  <c r="T335" i="11" s="1"/>
  <c r="T336" i="11" s="1"/>
  <c r="T337" i="11" s="1"/>
  <c r="T338" i="11" s="1"/>
  <c r="T339" i="11" s="1"/>
  <c r="T340" i="11" s="1"/>
  <c r="T341" i="11" s="1"/>
  <c r="T342" i="11" s="1"/>
  <c r="T343" i="11" s="1"/>
  <c r="T344" i="11" s="1"/>
  <c r="T345" i="11" s="1"/>
  <c r="T346" i="11" s="1"/>
  <c r="T347" i="11" s="1"/>
  <c r="T348" i="11" s="1"/>
  <c r="T349" i="11" s="1"/>
  <c r="T350" i="11" s="1"/>
  <c r="T351" i="11" s="1"/>
  <c r="T352" i="11" s="1"/>
  <c r="T353" i="11" s="1"/>
  <c r="T354" i="11" s="1"/>
  <c r="T355" i="11" s="1"/>
  <c r="T356" i="11" s="1"/>
  <c r="T357" i="11" s="1"/>
  <c r="T358" i="11" s="1"/>
  <c r="T359" i="11" s="1"/>
  <c r="T360" i="11" s="1"/>
  <c r="T361" i="11" s="1"/>
  <c r="T362" i="11" s="1"/>
  <c r="T363" i="11" s="1"/>
  <c r="T364" i="11" s="1"/>
  <c r="T365" i="11" s="1"/>
  <c r="T366" i="11" s="1"/>
  <c r="T367" i="11" s="1"/>
  <c r="T368" i="11" s="1"/>
  <c r="T369" i="11" s="1"/>
  <c r="T370" i="11" s="1"/>
  <c r="T371" i="11" s="1"/>
  <c r="T372" i="11" s="1"/>
  <c r="T373" i="11" s="1"/>
  <c r="T374" i="11" s="1"/>
  <c r="T375" i="11" s="1"/>
  <c r="T376" i="11" s="1"/>
  <c r="T377" i="11" s="1"/>
  <c r="T378" i="11" s="1"/>
  <c r="T379" i="11" s="1"/>
  <c r="T380" i="11" s="1"/>
  <c r="T381" i="11" s="1"/>
  <c r="T382" i="11" s="1"/>
  <c r="T383" i="11" s="1"/>
  <c r="T384" i="11" s="1"/>
  <c r="T385" i="11" s="1"/>
  <c r="T386" i="11" s="1"/>
  <c r="T387" i="11" s="1"/>
  <c r="T388" i="11" s="1"/>
  <c r="T389" i="11" s="1"/>
  <c r="T390" i="11" s="1"/>
  <c r="T391" i="11" s="1"/>
  <c r="T392" i="11" s="1"/>
  <c r="T393" i="11" s="1"/>
  <c r="T394" i="11" s="1"/>
  <c r="T395" i="11" s="1"/>
  <c r="T396" i="11" s="1"/>
  <c r="T397" i="11" s="1"/>
  <c r="T398" i="11" s="1"/>
  <c r="T399" i="11" s="1"/>
  <c r="T400" i="11" s="1"/>
  <c r="T401" i="11" s="1"/>
  <c r="T402" i="11" s="1"/>
  <c r="T403" i="11" s="1"/>
  <c r="T404" i="11" s="1"/>
  <c r="T405" i="11" s="1"/>
  <c r="T406" i="11" s="1"/>
  <c r="T407" i="11" s="1"/>
  <c r="T408" i="11" s="1"/>
  <c r="T409" i="11" s="1"/>
  <c r="T410" i="11" s="1"/>
  <c r="T411" i="11" s="1"/>
  <c r="T412" i="11" s="1"/>
  <c r="T413" i="11" s="1"/>
  <c r="T414" i="11" s="1"/>
  <c r="T415" i="11" s="1"/>
  <c r="T416" i="11" s="1"/>
  <c r="T417" i="11" s="1"/>
  <c r="T418" i="11" s="1"/>
  <c r="T419" i="11" s="1"/>
  <c r="T420" i="11" s="1"/>
  <c r="T421" i="11" s="1"/>
  <c r="T422" i="11" s="1"/>
  <c r="T423" i="11" s="1"/>
  <c r="T424" i="11" s="1"/>
  <c r="T425" i="11" s="1"/>
  <c r="T426" i="11" s="1"/>
  <c r="T427" i="11" s="1"/>
  <c r="T428" i="11" s="1"/>
  <c r="T429" i="11" s="1"/>
  <c r="T430" i="11" s="1"/>
  <c r="T431" i="11" s="1"/>
  <c r="T432" i="11" s="1"/>
  <c r="T433" i="11" s="1"/>
  <c r="T434" i="11" s="1"/>
  <c r="T435" i="11" s="1"/>
  <c r="T436" i="11" s="1"/>
  <c r="T437" i="11" s="1"/>
  <c r="T438" i="11" s="1"/>
  <c r="T439" i="11" s="1"/>
  <c r="T440" i="11" s="1"/>
  <c r="T441" i="11" s="1"/>
  <c r="T442" i="11" s="1"/>
  <c r="T443" i="11" s="1"/>
  <c r="T444" i="11" s="1"/>
  <c r="T445" i="11" s="1"/>
  <c r="T446" i="11" s="1"/>
  <c r="T447" i="11" s="1"/>
  <c r="T448" i="11" s="1"/>
  <c r="T449" i="11" s="1"/>
  <c r="T450" i="11" s="1"/>
  <c r="T451" i="11" s="1"/>
  <c r="T452" i="11" s="1"/>
  <c r="T453" i="11" s="1"/>
  <c r="T454" i="11" s="1"/>
  <c r="T455" i="11" s="1"/>
  <c r="T456" i="11" s="1"/>
  <c r="T457" i="11" s="1"/>
  <c r="T458" i="11" s="1"/>
  <c r="T459" i="11" s="1"/>
  <c r="T460" i="11" s="1"/>
  <c r="T461" i="11" s="1"/>
  <c r="T462" i="11" s="1"/>
  <c r="T463" i="11" s="1"/>
  <c r="T464" i="11" s="1"/>
  <c r="T465" i="11" s="1"/>
  <c r="T466" i="11" s="1"/>
  <c r="T467" i="11" s="1"/>
  <c r="T468" i="11" s="1"/>
  <c r="T469" i="11" s="1"/>
  <c r="T470" i="11" s="1"/>
  <c r="T471" i="11" s="1"/>
  <c r="T472" i="11" s="1"/>
  <c r="T473" i="11" s="1"/>
  <c r="T474" i="11" s="1"/>
  <c r="T475" i="11" s="1"/>
  <c r="T476" i="11" s="1"/>
  <c r="T477" i="11" s="1"/>
  <c r="T478" i="11" s="1"/>
  <c r="T479" i="11" s="1"/>
  <c r="T480" i="11" s="1"/>
  <c r="T481" i="11" s="1"/>
  <c r="T482" i="11" s="1"/>
  <c r="T483" i="11" s="1"/>
  <c r="T484" i="11" s="1"/>
  <c r="T485" i="11" s="1"/>
  <c r="T486" i="11" s="1"/>
  <c r="T487" i="11" s="1"/>
  <c r="T488" i="11" s="1"/>
  <c r="T489" i="11" s="1"/>
  <c r="T490" i="11" s="1"/>
  <c r="T491" i="11" s="1"/>
  <c r="T492" i="11" s="1"/>
  <c r="T493" i="11" s="1"/>
  <c r="T494" i="11" s="1"/>
  <c r="T495" i="11" s="1"/>
  <c r="T496" i="11" s="1"/>
  <c r="T497" i="11" s="1"/>
  <c r="V18" i="11"/>
  <c r="W18" i="11"/>
  <c r="G51" i="20"/>
  <c r="G57" i="20"/>
  <c r="D56" i="20"/>
  <c r="E55" i="20"/>
  <c r="D57" i="20"/>
  <c r="G53" i="20"/>
  <c r="E50" i="20"/>
  <c r="D52" i="20"/>
  <c r="G48" i="20"/>
  <c r="G54" i="20"/>
  <c r="D53" i="20"/>
  <c r="G49" i="20"/>
  <c r="E54" i="20"/>
  <c r="G52" i="20"/>
  <c r="E57" i="20"/>
  <c r="G50" i="20"/>
  <c r="G56" i="20"/>
  <c r="C55" i="20" l="1"/>
  <c r="E53" i="20"/>
  <c r="C49" i="20"/>
  <c r="C56" i="20"/>
  <c r="C53" i="20"/>
  <c r="F48" i="20"/>
  <c r="C57" i="20"/>
  <c r="E52" i="20"/>
  <c r="E51" i="20"/>
  <c r="E56" i="20"/>
  <c r="C52" i="20"/>
  <c r="F49" i="20"/>
  <c r="E28" i="20"/>
  <c r="C20" i="20"/>
  <c r="G27" i="20"/>
  <c r="D26" i="20"/>
  <c r="E20" i="20"/>
  <c r="E21" i="20"/>
  <c r="D27" i="20"/>
  <c r="C26" i="20"/>
  <c r="G28" i="20"/>
  <c r="F22" i="20"/>
  <c r="C23" i="20"/>
  <c r="C25" i="20"/>
  <c r="E29" i="20"/>
  <c r="E24" i="20"/>
  <c r="G22" i="20"/>
  <c r="G29" i="20"/>
  <c r="E27" i="20"/>
  <c r="C21" i="20"/>
  <c r="E22" i="20"/>
  <c r="D23" i="20"/>
  <c r="F27" i="20"/>
  <c r="C22" i="20"/>
  <c r="G23" i="20"/>
  <c r="D24" i="20"/>
  <c r="C24" i="20"/>
  <c r="F28" i="20"/>
  <c r="F25" i="20"/>
  <c r="G20" i="20"/>
  <c r="F23" i="20"/>
  <c r="F24" i="20"/>
  <c r="G26" i="20"/>
  <c r="D25" i="20"/>
  <c r="D20" i="20"/>
  <c r="D21" i="20"/>
  <c r="D28" i="20"/>
  <c r="D29" i="20"/>
  <c r="C27" i="20"/>
  <c r="D22" i="20"/>
  <c r="C28" i="20"/>
  <c r="F20" i="20"/>
  <c r="E23" i="20"/>
  <c r="G21" i="20"/>
  <c r="F29" i="20"/>
  <c r="E25" i="20"/>
  <c r="G24" i="20"/>
  <c r="G25" i="20"/>
  <c r="F21" i="20"/>
  <c r="E26" i="20"/>
  <c r="C29" i="20"/>
  <c r="F26" i="20"/>
  <c r="F52" i="20"/>
  <c r="E48" i="20"/>
  <c r="G68" i="20"/>
  <c r="D69" i="20"/>
  <c r="E70" i="20"/>
  <c r="E62" i="20"/>
  <c r="C67" i="20"/>
  <c r="G71" i="20"/>
  <c r="C69" i="20"/>
  <c r="E68" i="20"/>
  <c r="G67" i="20"/>
  <c r="E64" i="20"/>
  <c r="E65" i="20"/>
  <c r="G69" i="20"/>
  <c r="F64" i="20"/>
  <c r="G65" i="20"/>
  <c r="D70" i="20"/>
  <c r="C62" i="20"/>
  <c r="G66" i="20"/>
  <c r="D66" i="20"/>
  <c r="G64" i="20"/>
  <c r="F69" i="20"/>
  <c r="E66" i="20"/>
  <c r="C65" i="20"/>
  <c r="F63" i="20"/>
  <c r="F65" i="20"/>
  <c r="D65" i="20"/>
  <c r="E69" i="20"/>
  <c r="F70" i="20"/>
  <c r="D62" i="20"/>
  <c r="F66" i="20"/>
  <c r="D71" i="20"/>
  <c r="G63" i="20"/>
  <c r="D64" i="20"/>
  <c r="D63" i="20"/>
  <c r="C66" i="20"/>
  <c r="E67" i="20"/>
  <c r="F62" i="20"/>
  <c r="C70" i="20"/>
  <c r="C68" i="20"/>
  <c r="G62" i="20"/>
  <c r="D67" i="20"/>
  <c r="F71" i="20"/>
  <c r="C63" i="20"/>
  <c r="F67" i="20"/>
  <c r="C71" i="20"/>
  <c r="D68" i="20"/>
  <c r="G70" i="20"/>
  <c r="E71" i="20"/>
  <c r="E63" i="20"/>
  <c r="C64" i="20"/>
  <c r="F68" i="20"/>
  <c r="F56" i="20"/>
  <c r="D55" i="20"/>
  <c r="E42" i="20"/>
  <c r="C42" i="20"/>
  <c r="F40" i="20"/>
  <c r="D36" i="20"/>
  <c r="E38" i="20"/>
  <c r="D39" i="20"/>
  <c r="G38" i="20"/>
  <c r="E39" i="20"/>
  <c r="E37" i="20"/>
  <c r="F43" i="20"/>
  <c r="F38" i="20"/>
  <c r="F39" i="20"/>
  <c r="F37" i="20"/>
  <c r="F35" i="20"/>
  <c r="F36" i="20"/>
  <c r="G41" i="20"/>
  <c r="D42" i="20"/>
  <c r="G36" i="20"/>
  <c r="D38" i="20"/>
  <c r="C35" i="20"/>
  <c r="G37" i="20"/>
  <c r="G40" i="20"/>
  <c r="G34" i="20"/>
  <c r="E36" i="20"/>
  <c r="E34" i="20"/>
  <c r="G43" i="20"/>
  <c r="E40" i="20"/>
  <c r="E41" i="20"/>
  <c r="C36" i="20"/>
  <c r="C34" i="20"/>
  <c r="C43" i="20"/>
  <c r="C40" i="20"/>
  <c r="D40" i="20"/>
  <c r="F41" i="20"/>
  <c r="D41" i="20"/>
  <c r="G42" i="20"/>
  <c r="C39" i="20"/>
  <c r="G35" i="20"/>
  <c r="D34" i="20"/>
  <c r="C37" i="20"/>
  <c r="C38" i="20"/>
  <c r="D37" i="20"/>
  <c r="E43" i="20"/>
  <c r="F34" i="20"/>
  <c r="D35" i="20"/>
  <c r="F42" i="20"/>
  <c r="D43" i="20"/>
  <c r="G39" i="20"/>
  <c r="C41" i="20"/>
  <c r="E35" i="20"/>
  <c r="G85" i="20"/>
  <c r="C84" i="20"/>
  <c r="C85" i="20"/>
  <c r="F85" i="20"/>
  <c r="F77" i="20"/>
  <c r="D82" i="20"/>
  <c r="F83" i="20"/>
  <c r="E85" i="20"/>
  <c r="G84" i="20"/>
  <c r="C78" i="20"/>
  <c r="E82" i="20"/>
  <c r="E78" i="20"/>
  <c r="D78" i="20"/>
  <c r="C79" i="20"/>
  <c r="F78" i="20"/>
  <c r="C81" i="20"/>
  <c r="D77" i="20"/>
  <c r="G76" i="20"/>
  <c r="F80" i="20"/>
  <c r="G79" i="20"/>
  <c r="G77" i="20"/>
  <c r="F82" i="20"/>
  <c r="G82" i="20"/>
  <c r="C77" i="20"/>
  <c r="G78" i="20"/>
  <c r="C83" i="20"/>
  <c r="D84" i="20"/>
  <c r="D79" i="20"/>
  <c r="D80" i="20"/>
  <c r="E80" i="20"/>
  <c r="E77" i="20"/>
  <c r="C82" i="20"/>
  <c r="E84" i="20"/>
  <c r="D76" i="20"/>
  <c r="E79" i="20"/>
  <c r="G83" i="20"/>
  <c r="D83" i="20"/>
  <c r="E76" i="20"/>
  <c r="G80" i="20"/>
  <c r="D85" i="20"/>
  <c r="C76" i="20"/>
  <c r="F84" i="20"/>
  <c r="G81" i="20"/>
  <c r="F79" i="20"/>
  <c r="E81" i="20"/>
  <c r="E83" i="20"/>
  <c r="D81" i="20"/>
  <c r="C80" i="20"/>
  <c r="F76" i="20"/>
  <c r="F81" i="20"/>
  <c r="D48" i="20"/>
  <c r="F55" i="20"/>
  <c r="C51" i="20"/>
  <c r="D54" i="20"/>
  <c r="D51" i="20"/>
  <c r="F51" i="20"/>
  <c r="F50" i="20"/>
  <c r="E49" i="20"/>
  <c r="C48" i="20"/>
  <c r="D50" i="20"/>
  <c r="D49" i="20"/>
  <c r="C50" i="20"/>
  <c r="C54" i="20"/>
  <c r="F57" i="20"/>
  <c r="F54" i="20"/>
  <c r="F53" i="20"/>
  <c r="J34" i="18"/>
  <c r="AE25" i="11"/>
  <c r="N172" i="11"/>
  <c r="O173" i="11"/>
  <c r="L34" i="18"/>
  <c r="AA19" i="11"/>
  <c r="AB20" i="11"/>
  <c r="G5" i="2"/>
  <c r="L4" i="18"/>
  <c r="M4" i="18" s="1"/>
  <c r="D116" i="2"/>
  <c r="E116" i="2"/>
  <c r="X18" i="11"/>
  <c r="Y18" i="11" s="1"/>
  <c r="U19" i="11" s="1"/>
  <c r="L33" i="18"/>
  <c r="AC35" i="18"/>
  <c r="P41" i="1"/>
  <c r="F8" i="18"/>
  <c r="F9" i="18"/>
  <c r="AC9" i="18" s="1"/>
  <c r="F10" i="18"/>
  <c r="AC10" i="18" s="1"/>
  <c r="F11" i="18"/>
  <c r="AC11" i="18" s="1"/>
  <c r="F116" i="2" l="1"/>
  <c r="AA20" i="11"/>
  <c r="AB21" i="11"/>
  <c r="O174" i="11"/>
  <c r="N173" i="11"/>
  <c r="AE26" i="11"/>
  <c r="W19" i="11"/>
  <c r="V19" i="11"/>
  <c r="N34" i="18"/>
  <c r="Q41" i="1"/>
  <c r="H5" i="2"/>
  <c r="N4" i="18"/>
  <c r="O4" i="18" s="1"/>
  <c r="N33" i="18"/>
  <c r="G116" i="2" s="1"/>
  <c r="P42" i="1"/>
  <c r="AC8" i="18"/>
  <c r="F55" i="18"/>
  <c r="X19" i="11" l="1"/>
  <c r="Y19" i="11" s="1"/>
  <c r="U20" i="11" s="1"/>
  <c r="W20" i="11" s="1"/>
  <c r="AE27" i="11"/>
  <c r="O175" i="11"/>
  <c r="N174" i="11"/>
  <c r="P33" i="18"/>
  <c r="I5" i="2"/>
  <c r="P4" i="18"/>
  <c r="Q4" i="18" s="1"/>
  <c r="AA21" i="11"/>
  <c r="AB22" i="11"/>
  <c r="Q42" i="1"/>
  <c r="Q44" i="1" s="1"/>
  <c r="P44" i="1"/>
  <c r="P34" i="18"/>
  <c r="F78" i="18"/>
  <c r="P30" i="1"/>
  <c r="F62" i="18"/>
  <c r="F74" i="18" s="1"/>
  <c r="F83" i="18" s="1"/>
  <c r="V20" i="11" l="1"/>
  <c r="X20" i="11" s="1"/>
  <c r="Y20" i="11" s="1"/>
  <c r="U21" i="11" s="1"/>
  <c r="W21" i="11" s="1"/>
  <c r="R33" i="18"/>
  <c r="P36" i="1"/>
  <c r="R30" i="1" s="1"/>
  <c r="Q30" i="1"/>
  <c r="Q36" i="1" s="1"/>
  <c r="AA22" i="11"/>
  <c r="AB23" i="11"/>
  <c r="AE28" i="11"/>
  <c r="F81" i="18"/>
  <c r="G78" i="18" s="1"/>
  <c r="F96" i="18"/>
  <c r="R34" i="18"/>
  <c r="R39" i="1"/>
  <c r="R38" i="1"/>
  <c r="R43" i="1"/>
  <c r="R40" i="1"/>
  <c r="R41" i="1"/>
  <c r="H116" i="2"/>
  <c r="R42" i="1"/>
  <c r="J5" i="2"/>
  <c r="R4" i="18"/>
  <c r="S4" i="18" s="1"/>
  <c r="F88" i="18"/>
  <c r="F87" i="18"/>
  <c r="O176" i="11"/>
  <c r="N175" i="11"/>
  <c r="I116" i="2" l="1"/>
  <c r="V21" i="11"/>
  <c r="X21" i="11" s="1"/>
  <c r="Y21" i="11" s="1"/>
  <c r="U22" i="11" s="1"/>
  <c r="W22" i="11"/>
  <c r="V22" i="11"/>
  <c r="K5" i="2"/>
  <c r="T4" i="18"/>
  <c r="R33" i="1"/>
  <c r="R35" i="1"/>
  <c r="R34" i="1"/>
  <c r="R32" i="1"/>
  <c r="P45" i="1"/>
  <c r="R31" i="1"/>
  <c r="O177" i="11"/>
  <c r="N176" i="11"/>
  <c r="T34" i="18"/>
  <c r="AC34" i="18" s="1"/>
  <c r="G80" i="18"/>
  <c r="G81" i="18"/>
  <c r="AE29" i="11"/>
  <c r="R44" i="1"/>
  <c r="AA23" i="11"/>
  <c r="AB24" i="11"/>
  <c r="T33" i="18"/>
  <c r="R36" i="1" l="1"/>
  <c r="X22" i="11"/>
  <c r="Y22" i="11" s="1"/>
  <c r="U23" i="11" s="1"/>
  <c r="W23" i="11"/>
  <c r="V23" i="11"/>
  <c r="X23" i="11" s="1"/>
  <c r="Y23" i="11" s="1"/>
  <c r="U24" i="11" s="1"/>
  <c r="AE30" i="11"/>
  <c r="U4" i="18"/>
  <c r="AA4" i="18"/>
  <c r="N177" i="11"/>
  <c r="O178" i="11"/>
  <c r="L5" i="2"/>
  <c r="V4" i="18"/>
  <c r="W4" i="18" s="1"/>
  <c r="H78" i="18"/>
  <c r="H69" i="18"/>
  <c r="H13" i="18"/>
  <c r="J116" i="2"/>
  <c r="AA33" i="18"/>
  <c r="AA24" i="11"/>
  <c r="AB25" i="11"/>
  <c r="W24" i="11" l="1"/>
  <c r="V24" i="11"/>
  <c r="AA36" i="18"/>
  <c r="AC36" i="18" s="1"/>
  <c r="AC33" i="18"/>
  <c r="H55" i="18"/>
  <c r="AE31" i="11"/>
  <c r="M5" i="2"/>
  <c r="X4" i="18"/>
  <c r="Y4" i="18" s="1"/>
  <c r="AA25" i="11"/>
  <c r="AB26" i="11"/>
  <c r="O179" i="11"/>
  <c r="N178" i="11"/>
  <c r="X24" i="11" l="1"/>
  <c r="Y24" i="11" s="1"/>
  <c r="U25" i="11" s="1"/>
  <c r="W25" i="11" s="1"/>
  <c r="V25" i="11"/>
  <c r="AA26" i="11"/>
  <c r="AB27" i="11"/>
  <c r="H57" i="18"/>
  <c r="H66" i="18"/>
  <c r="H63" i="18" s="1"/>
  <c r="H75" i="18" s="1"/>
  <c r="AE32" i="11"/>
  <c r="H70" i="18"/>
  <c r="N5" i="2"/>
  <c r="Z4" i="18"/>
  <c r="N179" i="11"/>
  <c r="O180" i="11"/>
  <c r="X25" i="11" l="1"/>
  <c r="Y25" i="11" s="1"/>
  <c r="U26" i="11" s="1"/>
  <c r="W26" i="11"/>
  <c r="V26" i="11"/>
  <c r="X26" i="11" s="1"/>
  <c r="Y26" i="11" s="1"/>
  <c r="U27" i="11" s="1"/>
  <c r="H79" i="18"/>
  <c r="H84" i="18"/>
  <c r="AA27" i="11"/>
  <c r="AB28" i="11"/>
  <c r="AE33" i="11"/>
  <c r="O181" i="11"/>
  <c r="N180" i="11"/>
  <c r="H62" i="18"/>
  <c r="H74" i="18" s="1"/>
  <c r="W27" i="11" l="1"/>
  <c r="V27" i="11"/>
  <c r="X27" i="11" s="1"/>
  <c r="Y27" i="11" s="1"/>
  <c r="U28" i="11" s="1"/>
  <c r="H83" i="18"/>
  <c r="H80" i="18"/>
  <c r="H92" i="18"/>
  <c r="H93" i="18"/>
  <c r="N181" i="11"/>
  <c r="O182" i="11"/>
  <c r="AA28" i="11"/>
  <c r="AB29" i="11"/>
  <c r="AE34" i="11"/>
  <c r="H81" i="18"/>
  <c r="I78" i="18" s="1"/>
  <c r="I81" i="18" s="1"/>
  <c r="W28" i="11" l="1"/>
  <c r="V28" i="11"/>
  <c r="X28" i="11" s="1"/>
  <c r="Y28" i="11" s="1"/>
  <c r="U29" i="11" s="1"/>
  <c r="AA29" i="11"/>
  <c r="AB30" i="11"/>
  <c r="J69" i="18"/>
  <c r="J13" i="18"/>
  <c r="J78" i="18"/>
  <c r="AE35" i="11"/>
  <c r="H88" i="18"/>
  <c r="H97" i="18" s="1"/>
  <c r="H87" i="18"/>
  <c r="H96" i="18" s="1"/>
  <c r="O183" i="11"/>
  <c r="N182" i="11"/>
  <c r="W29" i="11" l="1"/>
  <c r="V29" i="11"/>
  <c r="X29" i="11" s="1"/>
  <c r="Y29" i="11" s="1"/>
  <c r="U30" i="11" s="1"/>
  <c r="J55" i="18"/>
  <c r="O184" i="11"/>
  <c r="N183" i="11"/>
  <c r="AA30" i="11"/>
  <c r="AB31" i="11"/>
  <c r="J70" i="18"/>
  <c r="AE36" i="11"/>
  <c r="W30" i="11" l="1"/>
  <c r="V30" i="11"/>
  <c r="AE37" i="11"/>
  <c r="AA31" i="11"/>
  <c r="AB32" i="11"/>
  <c r="O185" i="11"/>
  <c r="N184" i="11"/>
  <c r="J57" i="18"/>
  <c r="J66" i="18"/>
  <c r="J63" i="18" s="1"/>
  <c r="J75" i="18" s="1"/>
  <c r="X30" i="11" l="1"/>
  <c r="Y30" i="11" s="1"/>
  <c r="U31" i="11" s="1"/>
  <c r="W31" i="11"/>
  <c r="V31" i="11"/>
  <c r="X31" i="11" s="1"/>
  <c r="Y31" i="11" s="1"/>
  <c r="U32" i="11" s="1"/>
  <c r="AA32" i="11"/>
  <c r="AB33" i="11"/>
  <c r="J62" i="18"/>
  <c r="J74" i="18" s="1"/>
  <c r="AE38" i="11"/>
  <c r="J79" i="18"/>
  <c r="J84" i="18"/>
  <c r="N185" i="11"/>
  <c r="O186" i="11"/>
  <c r="W32" i="11" l="1"/>
  <c r="V32" i="11"/>
  <c r="X32" i="11" s="1"/>
  <c r="Y32" i="11" s="1"/>
  <c r="U33" i="11" s="1"/>
  <c r="J83" i="18"/>
  <c r="J80" i="18"/>
  <c r="J81" i="18" s="1"/>
  <c r="K78" i="18" s="1"/>
  <c r="K81" i="18" s="1"/>
  <c r="AA33" i="11"/>
  <c r="AB34" i="11"/>
  <c r="AE39" i="11"/>
  <c r="O187" i="11"/>
  <c r="N186" i="11"/>
  <c r="J92" i="18"/>
  <c r="J93" i="18"/>
  <c r="W33" i="11" l="1"/>
  <c r="V33" i="11"/>
  <c r="X33" i="11" s="1"/>
  <c r="Y33" i="11" s="1"/>
  <c r="U34" i="11" s="1"/>
  <c r="AE40" i="11"/>
  <c r="AA34" i="11"/>
  <c r="AB35" i="11"/>
  <c r="J87" i="18"/>
  <c r="J96" i="18" s="1"/>
  <c r="J88" i="18"/>
  <c r="J97" i="18" s="1"/>
  <c r="N187" i="11"/>
  <c r="O188" i="11"/>
  <c r="L13" i="18"/>
  <c r="L78" i="18"/>
  <c r="L69" i="18"/>
  <c r="W34" i="11" l="1"/>
  <c r="V34" i="11"/>
  <c r="X34" i="11" s="1"/>
  <c r="Y34" i="11" s="1"/>
  <c r="U35" i="11" s="1"/>
  <c r="AA35" i="11"/>
  <c r="AB36" i="11"/>
  <c r="L55" i="18"/>
  <c r="L70" i="18" s="1"/>
  <c r="N188" i="11"/>
  <c r="O189" i="11"/>
  <c r="AE41" i="11"/>
  <c r="W35" i="11" l="1"/>
  <c r="V35" i="11"/>
  <c r="X35" i="11" s="1"/>
  <c r="Y35" i="11" s="1"/>
  <c r="U36" i="11" s="1"/>
  <c r="AE42" i="11"/>
  <c r="AA36" i="11"/>
  <c r="AB37" i="11"/>
  <c r="O190" i="11"/>
  <c r="N189" i="11"/>
  <c r="L57" i="18"/>
  <c r="L66" i="18"/>
  <c r="L63" i="18" s="1"/>
  <c r="L75" i="18" s="1"/>
  <c r="W36" i="11" l="1"/>
  <c r="V36" i="11"/>
  <c r="X36" i="11" s="1"/>
  <c r="Y36" i="11" s="1"/>
  <c r="U37" i="11" s="1"/>
  <c r="AA37" i="11"/>
  <c r="AB38" i="11"/>
  <c r="L62" i="18"/>
  <c r="L74" i="18" s="1"/>
  <c r="L79" i="18"/>
  <c r="L84" i="18"/>
  <c r="AE43" i="11"/>
  <c r="N190" i="11"/>
  <c r="O191" i="11"/>
  <c r="W37" i="11" l="1"/>
  <c r="V37" i="11"/>
  <c r="X37" i="11" s="1"/>
  <c r="Y37" i="11" s="1"/>
  <c r="U38" i="11" s="1"/>
  <c r="L83" i="18"/>
  <c r="L80" i="18"/>
  <c r="AA38" i="11"/>
  <c r="AB39" i="11"/>
  <c r="L92" i="18"/>
  <c r="L93" i="18"/>
  <c r="N191" i="11"/>
  <c r="O192" i="11"/>
  <c r="AE44" i="11"/>
  <c r="W38" i="11" l="1"/>
  <c r="V38" i="11"/>
  <c r="X38" i="11" s="1"/>
  <c r="Y38" i="11" s="1"/>
  <c r="U39" i="11" s="1"/>
  <c r="AE45" i="11"/>
  <c r="L87" i="18"/>
  <c r="L96" i="18" s="1"/>
  <c r="L88" i="18"/>
  <c r="L97" i="18" s="1"/>
  <c r="N192" i="11"/>
  <c r="O193" i="11"/>
  <c r="L81" i="18"/>
  <c r="M78" i="18" s="1"/>
  <c r="M81" i="18" s="1"/>
  <c r="AA39" i="11"/>
  <c r="AB40" i="11"/>
  <c r="W39" i="11" l="1"/>
  <c r="V39" i="11"/>
  <c r="X39" i="11" s="1"/>
  <c r="Y39" i="11" s="1"/>
  <c r="U40" i="11" s="1"/>
  <c r="AA40" i="11"/>
  <c r="AB41" i="11"/>
  <c r="N69" i="18"/>
  <c r="N13" i="18"/>
  <c r="N78" i="18"/>
  <c r="AE46" i="11"/>
  <c r="N193" i="11"/>
  <c r="O194" i="11"/>
  <c r="W40" i="11" l="1"/>
  <c r="V40" i="11"/>
  <c r="N194" i="11"/>
  <c r="O195" i="11"/>
  <c r="AE47" i="11"/>
  <c r="N55" i="18"/>
  <c r="N70" i="18" s="1"/>
  <c r="AA41" i="11"/>
  <c r="AB42" i="11"/>
  <c r="X40" i="11" l="1"/>
  <c r="Y40" i="11" s="1"/>
  <c r="U41" i="11" s="1"/>
  <c r="W41" i="11" s="1"/>
  <c r="V41" i="11"/>
  <c r="O196" i="11"/>
  <c r="N195" i="11"/>
  <c r="AE48" i="11"/>
  <c r="AA42" i="11"/>
  <c r="AB43" i="11"/>
  <c r="N57" i="18"/>
  <c r="N66" i="18"/>
  <c r="N63" i="18" s="1"/>
  <c r="N75" i="18" s="1"/>
  <c r="X41" i="11" l="1"/>
  <c r="Y41" i="11" s="1"/>
  <c r="U42" i="11" s="1"/>
  <c r="W42" i="11" s="1"/>
  <c r="V42" i="11"/>
  <c r="AE49" i="11"/>
  <c r="N84" i="18"/>
  <c r="N79" i="18"/>
  <c r="N196" i="11"/>
  <c r="O197" i="11"/>
  <c r="N62" i="18"/>
  <c r="N74" i="18" s="1"/>
  <c r="AA43" i="11"/>
  <c r="AB44" i="11"/>
  <c r="X42" i="11" l="1"/>
  <c r="Y42" i="11" s="1"/>
  <c r="U43" i="11" s="1"/>
  <c r="W43" i="11"/>
  <c r="V43" i="11"/>
  <c r="X43" i="11" s="1"/>
  <c r="Y43" i="11" s="1"/>
  <c r="U44" i="11" s="1"/>
  <c r="N92" i="18"/>
  <c r="N93" i="18"/>
  <c r="AA44" i="11"/>
  <c r="AB45" i="11"/>
  <c r="N81" i="18"/>
  <c r="O78" i="18" s="1"/>
  <c r="O81" i="18" s="1"/>
  <c r="AE50" i="11"/>
  <c r="N80" i="18"/>
  <c r="N83" i="18"/>
  <c r="O198" i="11"/>
  <c r="N197" i="11"/>
  <c r="W44" i="11" l="1"/>
  <c r="V44" i="11"/>
  <c r="X44" i="11" s="1"/>
  <c r="Y44" i="11" s="1"/>
  <c r="U45" i="11" s="1"/>
  <c r="O199" i="11"/>
  <c r="N198" i="11"/>
  <c r="P78" i="18"/>
  <c r="P13" i="18"/>
  <c r="P69" i="18"/>
  <c r="AA45" i="11"/>
  <c r="AB46" i="11"/>
  <c r="N88" i="18"/>
  <c r="N97" i="18" s="1"/>
  <c r="N87" i="18"/>
  <c r="N96" i="18" s="1"/>
  <c r="AE51" i="11"/>
  <c r="W45" i="11" l="1"/>
  <c r="V45" i="11"/>
  <c r="X45" i="11" s="1"/>
  <c r="Y45" i="11" s="1"/>
  <c r="U46" i="11" s="1"/>
  <c r="P55" i="18"/>
  <c r="P70" i="18" s="1"/>
  <c r="AE52" i="11"/>
  <c r="AA46" i="11"/>
  <c r="AB47" i="11"/>
  <c r="O200" i="11"/>
  <c r="N199" i="11"/>
  <c r="W46" i="11" l="1"/>
  <c r="V46" i="11"/>
  <c r="X46" i="11" s="1"/>
  <c r="Y46" i="11" s="1"/>
  <c r="U47" i="11" s="1"/>
  <c r="N200" i="11"/>
  <c r="O201" i="11"/>
  <c r="AA47" i="11"/>
  <c r="AB48" i="11"/>
  <c r="P66" i="18"/>
  <c r="P63" i="18" s="1"/>
  <c r="P75" i="18" s="1"/>
  <c r="P57" i="18"/>
  <c r="AE53" i="11"/>
  <c r="W47" i="11" l="1"/>
  <c r="V47" i="11"/>
  <c r="X47" i="11" s="1"/>
  <c r="Y47" i="11" s="1"/>
  <c r="U48" i="11" s="1"/>
  <c r="AA48" i="11"/>
  <c r="AB49" i="11"/>
  <c r="N201" i="11"/>
  <c r="O202" i="11"/>
  <c r="AE54" i="11"/>
  <c r="P84" i="18"/>
  <c r="P79" i="18"/>
  <c r="P62" i="18"/>
  <c r="P74" i="18" s="1"/>
  <c r="W48" i="11" l="1"/>
  <c r="V48" i="11"/>
  <c r="X48" i="11" s="1"/>
  <c r="Y48" i="11" s="1"/>
  <c r="U49" i="11" s="1"/>
  <c r="N202" i="11"/>
  <c r="O203" i="11"/>
  <c r="AE55" i="11"/>
  <c r="AA49" i="11"/>
  <c r="AB50" i="11"/>
  <c r="P83" i="18"/>
  <c r="P80" i="18"/>
  <c r="P81" i="18"/>
  <c r="Q78" i="18" s="1"/>
  <c r="Q81" i="18" s="1"/>
  <c r="P93" i="18"/>
  <c r="P92" i="18"/>
  <c r="W49" i="11" l="1"/>
  <c r="V49" i="11"/>
  <c r="X49" i="11" s="1"/>
  <c r="Y49" i="11" s="1"/>
  <c r="U50" i="11" s="1"/>
  <c r="R69" i="18"/>
  <c r="R78" i="18"/>
  <c r="R13" i="18"/>
  <c r="R55" i="18" s="1"/>
  <c r="AE56" i="11"/>
  <c r="O204" i="11"/>
  <c r="N203" i="11"/>
  <c r="P88" i="18"/>
  <c r="P97" i="18" s="1"/>
  <c r="P87" i="18"/>
  <c r="P96" i="18" s="1"/>
  <c r="AA50" i="11"/>
  <c r="AB51" i="11"/>
  <c r="W50" i="11" l="1"/>
  <c r="V50" i="11"/>
  <c r="X50" i="11" s="1"/>
  <c r="Y50" i="11" s="1"/>
  <c r="U51" i="11" s="1"/>
  <c r="AE57" i="11"/>
  <c r="AA51" i="11"/>
  <c r="AB52" i="11"/>
  <c r="R66" i="18"/>
  <c r="R63" i="18" s="1"/>
  <c r="R75" i="18" s="1"/>
  <c r="R57" i="18"/>
  <c r="R70" i="18"/>
  <c r="O205" i="11"/>
  <c r="N204" i="11"/>
  <c r="W51" i="11" l="1"/>
  <c r="V51" i="11"/>
  <c r="X51" i="11" s="1"/>
  <c r="Y51" i="11" s="1"/>
  <c r="U52" i="11" s="1"/>
  <c r="R79" i="18"/>
  <c r="R84" i="18"/>
  <c r="AA52" i="11"/>
  <c r="AB53" i="11"/>
  <c r="AE58" i="11"/>
  <c r="N205" i="11"/>
  <c r="O206" i="11"/>
  <c r="R62" i="18"/>
  <c r="R74" i="18" s="1"/>
  <c r="W52" i="11" l="1"/>
  <c r="V52" i="11"/>
  <c r="X52" i="11" s="1"/>
  <c r="Y52" i="11" s="1"/>
  <c r="U53" i="11" s="1"/>
  <c r="R80" i="18"/>
  <c r="R83" i="18"/>
  <c r="R93" i="18"/>
  <c r="R92" i="18"/>
  <c r="O207" i="11"/>
  <c r="N206" i="11"/>
  <c r="AA53" i="11"/>
  <c r="AB54" i="11"/>
  <c r="R81" i="18"/>
  <c r="S78" i="18" s="1"/>
  <c r="S81" i="18" s="1"/>
  <c r="AE59" i="11"/>
  <c r="W53" i="11" l="1"/>
  <c r="V53" i="11"/>
  <c r="X53" i="11" s="1"/>
  <c r="Y53" i="11" s="1"/>
  <c r="U54" i="11" s="1"/>
  <c r="T13" i="18"/>
  <c r="T69" i="18"/>
  <c r="T78" i="18"/>
  <c r="O208" i="11"/>
  <c r="N207" i="11"/>
  <c r="AE60" i="11"/>
  <c r="R88" i="18"/>
  <c r="R97" i="18" s="1"/>
  <c r="R87" i="18"/>
  <c r="R96" i="18"/>
  <c r="AA54" i="11"/>
  <c r="AB55" i="11"/>
  <c r="W54" i="11" l="1"/>
  <c r="V54" i="11"/>
  <c r="X54" i="11" s="1"/>
  <c r="Y54" i="11" s="1"/>
  <c r="U55" i="11" s="1"/>
  <c r="AA55" i="11"/>
  <c r="AB56" i="11"/>
  <c r="O209" i="11"/>
  <c r="N208" i="11"/>
  <c r="T55" i="18"/>
  <c r="AC13" i="18"/>
  <c r="K25" i="1" s="1"/>
  <c r="AE61" i="11"/>
  <c r="W55" i="11" l="1"/>
  <c r="V55" i="11"/>
  <c r="X55" i="11" s="1"/>
  <c r="Y55" i="11" s="1"/>
  <c r="U56" i="11" s="1"/>
  <c r="O210" i="11"/>
  <c r="N209" i="11"/>
  <c r="AA56" i="11"/>
  <c r="AB57" i="11"/>
  <c r="T57" i="18"/>
  <c r="D57" i="18" s="1"/>
  <c r="H26" i="1" s="1"/>
  <c r="T66" i="18"/>
  <c r="T63" i="18" s="1"/>
  <c r="T75" i="18" s="1"/>
  <c r="AE62" i="11"/>
  <c r="T70" i="18"/>
  <c r="W56" i="11" l="1"/>
  <c r="V56" i="11"/>
  <c r="AA57" i="11"/>
  <c r="AB58" i="11"/>
  <c r="T79" i="18"/>
  <c r="T84" i="18"/>
  <c r="N210" i="11"/>
  <c r="O211" i="11"/>
  <c r="AE63" i="11"/>
  <c r="T62" i="18"/>
  <c r="T74" i="18" s="1"/>
  <c r="X56" i="11" l="1"/>
  <c r="Y56" i="11" s="1"/>
  <c r="U57" i="11" s="1"/>
  <c r="W57" i="11"/>
  <c r="V57" i="11"/>
  <c r="X57" i="11" s="1"/>
  <c r="Y57" i="11" s="1"/>
  <c r="U58" i="11" s="1"/>
  <c r="T80" i="18"/>
  <c r="AA58" i="11"/>
  <c r="AB59" i="11"/>
  <c r="T81" i="18"/>
  <c r="AA78" i="18" s="1"/>
  <c r="AE64" i="11"/>
  <c r="T93" i="18"/>
  <c r="T92" i="18"/>
  <c r="N211" i="11"/>
  <c r="O212" i="11"/>
  <c r="W58" i="11" l="1"/>
  <c r="V58" i="11"/>
  <c r="X58" i="11" s="1"/>
  <c r="Y58" i="11" s="1"/>
  <c r="U59" i="11" s="1"/>
  <c r="O213" i="11"/>
  <c r="N212" i="11"/>
  <c r="AE65" i="11"/>
  <c r="AA59" i="11"/>
  <c r="AB60" i="11"/>
  <c r="T83" i="18"/>
  <c r="W59" i="11" l="1"/>
  <c r="V59" i="11"/>
  <c r="X59" i="11" s="1"/>
  <c r="Y59" i="11" s="1"/>
  <c r="U60" i="11" s="1"/>
  <c r="AE66" i="11"/>
  <c r="O214" i="11"/>
  <c r="N213" i="11"/>
  <c r="T87" i="18"/>
  <c r="T96" i="18" s="1"/>
  <c r="T88" i="18"/>
  <c r="T97" i="18" s="1"/>
  <c r="AA60" i="11"/>
  <c r="AB61" i="11"/>
  <c r="W60" i="11" l="1"/>
  <c r="V60" i="11"/>
  <c r="X60" i="11" s="1"/>
  <c r="Y60" i="11" s="1"/>
  <c r="U61" i="11" s="1"/>
  <c r="AE67" i="11"/>
  <c r="AA61" i="11"/>
  <c r="AB62" i="11"/>
  <c r="N214" i="11"/>
  <c r="O215" i="11"/>
  <c r="W61" i="11" l="1"/>
  <c r="V61" i="11"/>
  <c r="X61" i="11" s="1"/>
  <c r="Y61" i="11" s="1"/>
  <c r="U62" i="11" s="1"/>
  <c r="AE68" i="11"/>
  <c r="AA62" i="11"/>
  <c r="AB63" i="11"/>
  <c r="N215" i="11"/>
  <c r="O216" i="11"/>
  <c r="W62" i="11" l="1"/>
  <c r="V62" i="11"/>
  <c r="X62" i="11" s="1"/>
  <c r="Y62" i="11" s="1"/>
  <c r="U63" i="11" s="1"/>
  <c r="AA63" i="11"/>
  <c r="AB64" i="11"/>
  <c r="AE69" i="11"/>
  <c r="N216" i="11"/>
  <c r="O217" i="11"/>
  <c r="W63" i="11" l="1"/>
  <c r="V63" i="11"/>
  <c r="X63" i="11" s="1"/>
  <c r="Y63" i="11" s="1"/>
  <c r="U64" i="11" s="1"/>
  <c r="AA64" i="11"/>
  <c r="AB65" i="11"/>
  <c r="AE70" i="11"/>
  <c r="O218" i="11"/>
  <c r="N217" i="11"/>
  <c r="W64" i="11" l="1"/>
  <c r="V64" i="11"/>
  <c r="X64" i="11" s="1"/>
  <c r="Y64" i="11" s="1"/>
  <c r="U65" i="11" s="1"/>
  <c r="O219" i="11"/>
  <c r="N218" i="11"/>
  <c r="AA65" i="11"/>
  <c r="AB66" i="11"/>
  <c r="AE71" i="11"/>
  <c r="W65" i="11" l="1"/>
  <c r="V65" i="11"/>
  <c r="X65" i="11" s="1"/>
  <c r="Y65" i="11" s="1"/>
  <c r="U66" i="11" s="1"/>
  <c r="AA66" i="11"/>
  <c r="AB67" i="11"/>
  <c r="O220" i="11"/>
  <c r="N219" i="11"/>
  <c r="AE72" i="11"/>
  <c r="W66" i="11" l="1"/>
  <c r="V66" i="11"/>
  <c r="X66" i="11" s="1"/>
  <c r="Y66" i="11" s="1"/>
  <c r="U67" i="11" s="1"/>
  <c r="N220" i="11"/>
  <c r="O221" i="11"/>
  <c r="AA67" i="11"/>
  <c r="AB68" i="11"/>
  <c r="AE73" i="11"/>
  <c r="W67" i="11" l="1"/>
  <c r="V67" i="11"/>
  <c r="X67" i="11" s="1"/>
  <c r="Y67" i="11" s="1"/>
  <c r="U68" i="11" s="1"/>
  <c r="AE74" i="11"/>
  <c r="AA68" i="11"/>
  <c r="AB69" i="11"/>
  <c r="N221" i="11"/>
  <c r="O222" i="11"/>
  <c r="W68" i="11" l="1"/>
  <c r="V68" i="11"/>
  <c r="X68" i="11" s="1"/>
  <c r="Y68" i="11" s="1"/>
  <c r="U69" i="11" s="1"/>
  <c r="AA69" i="11"/>
  <c r="AB70" i="11"/>
  <c r="AE75" i="11"/>
  <c r="O223" i="11"/>
  <c r="N222" i="11"/>
  <c r="W69" i="11" l="1"/>
  <c r="V69" i="11"/>
  <c r="X69" i="11" s="1"/>
  <c r="Y69" i="11" s="1"/>
  <c r="U70" i="11" s="1"/>
  <c r="AE76" i="11"/>
  <c r="AA70" i="11"/>
  <c r="AB71" i="11"/>
  <c r="O224" i="11"/>
  <c r="N223" i="11"/>
  <c r="W70" i="11" l="1"/>
  <c r="V70" i="11"/>
  <c r="X70" i="11" s="1"/>
  <c r="Y70" i="11" s="1"/>
  <c r="U71" i="11" s="1"/>
  <c r="AA71" i="11"/>
  <c r="AB72" i="11"/>
  <c r="N224" i="11"/>
  <c r="O225" i="11"/>
  <c r="AE77" i="11"/>
  <c r="W71" i="11" l="1"/>
  <c r="V71" i="11"/>
  <c r="X71" i="11" s="1"/>
  <c r="Y71" i="11" s="1"/>
  <c r="U72" i="11" s="1"/>
  <c r="O226" i="11"/>
  <c r="N225" i="11"/>
  <c r="AE78" i="11"/>
  <c r="AA72" i="11"/>
  <c r="AB73" i="11"/>
  <c r="W72" i="11" l="1"/>
  <c r="V72" i="11"/>
  <c r="X72" i="11" s="1"/>
  <c r="Y72" i="11" s="1"/>
  <c r="U73" i="11" s="1"/>
  <c r="AE79" i="11"/>
  <c r="N226" i="11"/>
  <c r="O227" i="11"/>
  <c r="AA73" i="11"/>
  <c r="AB74" i="11"/>
  <c r="W73" i="11" l="1"/>
  <c r="V73" i="11"/>
  <c r="X73" i="11" s="1"/>
  <c r="Y73" i="11" s="1"/>
  <c r="U74" i="11" s="1"/>
  <c r="N227" i="11"/>
  <c r="O228" i="11"/>
  <c r="AE80" i="11"/>
  <c r="AA74" i="11"/>
  <c r="AB75" i="11"/>
  <c r="W74" i="11" l="1"/>
  <c r="V74" i="11"/>
  <c r="X74" i="11" s="1"/>
  <c r="Y74" i="11" s="1"/>
  <c r="U75" i="11" s="1"/>
  <c r="AE81" i="11"/>
  <c r="O229" i="11"/>
  <c r="N228" i="11"/>
  <c r="AA75" i="11"/>
  <c r="AB76" i="11"/>
  <c r="W75" i="11" l="1"/>
  <c r="V75" i="11"/>
  <c r="X75" i="11" s="1"/>
  <c r="Y75" i="11" s="1"/>
  <c r="U76" i="11" s="1"/>
  <c r="AE82" i="11"/>
  <c r="O230" i="11"/>
  <c r="N229" i="11"/>
  <c r="AA76" i="11"/>
  <c r="AB77" i="11"/>
  <c r="W76" i="11" l="1"/>
  <c r="V76" i="11"/>
  <c r="X76" i="11" s="1"/>
  <c r="Y76" i="11" s="1"/>
  <c r="U77" i="11" s="1"/>
  <c r="O231" i="11"/>
  <c r="N230" i="11"/>
  <c r="AE83" i="11"/>
  <c r="AA77" i="11"/>
  <c r="AB78" i="11"/>
  <c r="W77" i="11" l="1"/>
  <c r="V77" i="11"/>
  <c r="X77" i="11" s="1"/>
  <c r="Y77" i="11" s="1"/>
  <c r="U78" i="11" s="1"/>
  <c r="AE84" i="11"/>
  <c r="O232" i="11"/>
  <c r="N231" i="11"/>
  <c r="AA78" i="11"/>
  <c r="AB79" i="11"/>
  <c r="W78" i="11" l="1"/>
  <c r="V78" i="11"/>
  <c r="X78" i="11" s="1"/>
  <c r="Y78" i="11" s="1"/>
  <c r="U79" i="11" s="1"/>
  <c r="AE85" i="11"/>
  <c r="N232" i="11"/>
  <c r="O233" i="11"/>
  <c r="AA79" i="11"/>
  <c r="AB80" i="11"/>
  <c r="W79" i="11" l="1"/>
  <c r="V79" i="11"/>
  <c r="X79" i="11" s="1"/>
  <c r="Y79" i="11" s="1"/>
  <c r="U80" i="11" s="1"/>
  <c r="O234" i="11"/>
  <c r="N233" i="11"/>
  <c r="AE86" i="11"/>
  <c r="AA80" i="11"/>
  <c r="AB81" i="11"/>
  <c r="W80" i="11" l="1"/>
  <c r="V80" i="11"/>
  <c r="X80" i="11" s="1"/>
  <c r="Y80" i="11" s="1"/>
  <c r="U81" i="11" s="1"/>
  <c r="AE87" i="11"/>
  <c r="N234" i="11"/>
  <c r="O235" i="11"/>
  <c r="AA81" i="11"/>
  <c r="AB82" i="11"/>
  <c r="W81" i="11" l="1"/>
  <c r="V81" i="11"/>
  <c r="X81" i="11" s="1"/>
  <c r="Y81" i="11" s="1"/>
  <c r="U82" i="11" s="1"/>
  <c r="O236" i="11"/>
  <c r="N235" i="11"/>
  <c r="AE88" i="11"/>
  <c r="AA82" i="11"/>
  <c r="AB83" i="11"/>
  <c r="W82" i="11" l="1"/>
  <c r="V82" i="11"/>
  <c r="AE89" i="11"/>
  <c r="N236" i="11"/>
  <c r="O237" i="11"/>
  <c r="AA83" i="11"/>
  <c r="AB84" i="11"/>
  <c r="X82" i="11" l="1"/>
  <c r="Y82" i="11" s="1"/>
  <c r="U83" i="11" s="1"/>
  <c r="W83" i="11"/>
  <c r="V83" i="11"/>
  <c r="X83" i="11" s="1"/>
  <c r="Y83" i="11" s="1"/>
  <c r="U84" i="11" s="1"/>
  <c r="N237" i="11"/>
  <c r="O238" i="11"/>
  <c r="AE90" i="11"/>
  <c r="AA84" i="11"/>
  <c r="AB85" i="11"/>
  <c r="W84" i="11" l="1"/>
  <c r="V84" i="11"/>
  <c r="X84" i="11" s="1"/>
  <c r="Y84" i="11" s="1"/>
  <c r="U85" i="11" s="1"/>
  <c r="N238" i="11"/>
  <c r="O239" i="11"/>
  <c r="AE91" i="11"/>
  <c r="AA85" i="11"/>
  <c r="AB86" i="11"/>
  <c r="W85" i="11" l="1"/>
  <c r="V85" i="11"/>
  <c r="X85" i="11" s="1"/>
  <c r="Y85" i="11" s="1"/>
  <c r="U86" i="11" s="1"/>
  <c r="AE92" i="11"/>
  <c r="N239" i="11"/>
  <c r="O240" i="11"/>
  <c r="AA86" i="11"/>
  <c r="AB87" i="11"/>
  <c r="W86" i="11" l="1"/>
  <c r="V86" i="11"/>
  <c r="X86" i="11" s="1"/>
  <c r="Y86" i="11" s="1"/>
  <c r="U87" i="11" s="1"/>
  <c r="O241" i="11"/>
  <c r="N240" i="11"/>
  <c r="AE93" i="11"/>
  <c r="AA87" i="11"/>
  <c r="AB88" i="11"/>
  <c r="W87" i="11" l="1"/>
  <c r="V87" i="11"/>
  <c r="X87" i="11" s="1"/>
  <c r="Y87" i="11" s="1"/>
  <c r="U88" i="11" s="1"/>
  <c r="AE94" i="11"/>
  <c r="N241" i="11"/>
  <c r="O242" i="11"/>
  <c r="AA88" i="11"/>
  <c r="AB89" i="11"/>
  <c r="W88" i="11" l="1"/>
  <c r="V88" i="11"/>
  <c r="X88" i="11" s="1"/>
  <c r="Y88" i="11" s="1"/>
  <c r="U89" i="11" s="1"/>
  <c r="O243" i="11"/>
  <c r="N242" i="11"/>
  <c r="AE95" i="11"/>
  <c r="AA89" i="11"/>
  <c r="AB90" i="11"/>
  <c r="W89" i="11" l="1"/>
  <c r="V89" i="11"/>
  <c r="O244" i="11"/>
  <c r="N243" i="11"/>
  <c r="AE96" i="11"/>
  <c r="AA90" i="11"/>
  <c r="AB91" i="11"/>
  <c r="AE97" i="11" l="1"/>
  <c r="N244" i="11"/>
  <c r="O245" i="11"/>
  <c r="X89" i="11"/>
  <c r="Y89" i="11" s="1"/>
  <c r="U90" i="11" s="1"/>
  <c r="AA91" i="11"/>
  <c r="AB92" i="11"/>
  <c r="AA92" i="11" l="1"/>
  <c r="AB93" i="11"/>
  <c r="W90" i="11"/>
  <c r="V90" i="11"/>
  <c r="X90" i="11" s="1"/>
  <c r="Y90" i="11" s="1"/>
  <c r="U91" i="11" s="1"/>
  <c r="N245" i="11"/>
  <c r="O246" i="11"/>
  <c r="AE98" i="11"/>
  <c r="W91" i="11" l="1"/>
  <c r="V91" i="11"/>
  <c r="X91" i="11" s="1"/>
  <c r="Y91" i="11" s="1"/>
  <c r="U92" i="11" s="1"/>
  <c r="AA93" i="11"/>
  <c r="AB94" i="11"/>
  <c r="N246" i="11"/>
  <c r="O247" i="11"/>
  <c r="AE99" i="11"/>
  <c r="W92" i="11" l="1"/>
  <c r="V92" i="11"/>
  <c r="X92" i="11" s="1"/>
  <c r="Y92" i="11" s="1"/>
  <c r="U93" i="11" s="1"/>
  <c r="AA94" i="11"/>
  <c r="AB95" i="11"/>
  <c r="AE100" i="11"/>
  <c r="O248" i="11"/>
  <c r="N247" i="11"/>
  <c r="W93" i="11" l="1"/>
  <c r="V93" i="11"/>
  <c r="O249" i="11"/>
  <c r="N248" i="11"/>
  <c r="AE101" i="11"/>
  <c r="AA95" i="11"/>
  <c r="AB96" i="11"/>
  <c r="N249" i="11" l="1"/>
  <c r="O250" i="11"/>
  <c r="AE102" i="11"/>
  <c r="X93" i="11"/>
  <c r="Y93" i="11" s="1"/>
  <c r="U94" i="11" s="1"/>
  <c r="AA96" i="11"/>
  <c r="AB97" i="11"/>
  <c r="W94" i="11" l="1"/>
  <c r="V94" i="11"/>
  <c r="X94" i="11" s="1"/>
  <c r="Y94" i="11" s="1"/>
  <c r="U95" i="11" s="1"/>
  <c r="AE103" i="11"/>
  <c r="AA97" i="11"/>
  <c r="AB98" i="11"/>
  <c r="N250" i="11"/>
  <c r="O251" i="11"/>
  <c r="W95" i="11" l="1"/>
  <c r="V95" i="11"/>
  <c r="X95" i="11" s="1"/>
  <c r="Y95" i="11" s="1"/>
  <c r="U96" i="11" s="1"/>
  <c r="AE104" i="11"/>
  <c r="AA98" i="11"/>
  <c r="AB99" i="11"/>
  <c r="N251" i="11"/>
  <c r="O252" i="11"/>
  <c r="W96" i="11" l="1"/>
  <c r="V96" i="11"/>
  <c r="X96" i="11" s="1"/>
  <c r="Y96" i="11" s="1"/>
  <c r="U97" i="11" s="1"/>
  <c r="AA99" i="11"/>
  <c r="AB100" i="11"/>
  <c r="AE105" i="11"/>
  <c r="O253" i="11"/>
  <c r="N252" i="11"/>
  <c r="W97" i="11" l="1"/>
  <c r="V97" i="11"/>
  <c r="X97" i="11" s="1"/>
  <c r="Y97" i="11" s="1"/>
  <c r="U98" i="11" s="1"/>
  <c r="O254" i="11"/>
  <c r="N253" i="11"/>
  <c r="AE106" i="11"/>
  <c r="AA100" i="11"/>
  <c r="AB101" i="11"/>
  <c r="W98" i="11" l="1"/>
  <c r="V98" i="11"/>
  <c r="AE107" i="11"/>
  <c r="O255" i="11"/>
  <c r="N254" i="11"/>
  <c r="AA101" i="11"/>
  <c r="AB102" i="11"/>
  <c r="N255" i="11" l="1"/>
  <c r="O256" i="11"/>
  <c r="AE108" i="11"/>
  <c r="X98" i="11"/>
  <c r="Y98" i="11" s="1"/>
  <c r="U99" i="11" s="1"/>
  <c r="AA102" i="11"/>
  <c r="AB103" i="11"/>
  <c r="AA103" i="11" l="1"/>
  <c r="AB104" i="11"/>
  <c r="W99" i="11"/>
  <c r="V99" i="11"/>
  <c r="X99" i="11" s="1"/>
  <c r="Y99" i="11" s="1"/>
  <c r="U100" i="11" s="1"/>
  <c r="AE109" i="11"/>
  <c r="N256" i="11"/>
  <c r="O257" i="11"/>
  <c r="W100" i="11" l="1"/>
  <c r="V100" i="11"/>
  <c r="X100" i="11" s="1"/>
  <c r="Y100" i="11" s="1"/>
  <c r="U101" i="11" s="1"/>
  <c r="AE110" i="11"/>
  <c r="AA104" i="11"/>
  <c r="AB105" i="11"/>
  <c r="N257" i="11"/>
  <c r="O258" i="11"/>
  <c r="W101" i="11" l="1"/>
  <c r="V101" i="11"/>
  <c r="AE111" i="11"/>
  <c r="AA105" i="11"/>
  <c r="AB106" i="11"/>
  <c r="O259" i="11"/>
  <c r="N258" i="11"/>
  <c r="N259" i="11" l="1"/>
  <c r="O260" i="11"/>
  <c r="AA106" i="11"/>
  <c r="AB107" i="11"/>
  <c r="AE112" i="11"/>
  <c r="X101" i="11"/>
  <c r="Y101" i="11" s="1"/>
  <c r="U102" i="11" s="1"/>
  <c r="AE113" i="11" l="1"/>
  <c r="AA107" i="11"/>
  <c r="AB108" i="11"/>
  <c r="O261" i="11"/>
  <c r="N260" i="11"/>
  <c r="W102" i="11"/>
  <c r="V102" i="11"/>
  <c r="O262" i="11" l="1"/>
  <c r="N261" i="11"/>
  <c r="AA108" i="11"/>
  <c r="AB109" i="11"/>
  <c r="AE114" i="11"/>
  <c r="X102" i="11"/>
  <c r="Y102" i="11" s="1"/>
  <c r="U103" i="11" s="1"/>
  <c r="AA109" i="11" l="1"/>
  <c r="AB110" i="11"/>
  <c r="W103" i="11"/>
  <c r="V103" i="11"/>
  <c r="X103" i="11" s="1"/>
  <c r="Y103" i="11" s="1"/>
  <c r="U104" i="11" s="1"/>
  <c r="AE115" i="11"/>
  <c r="N262" i="11"/>
  <c r="O263" i="11"/>
  <c r="W104" i="11" l="1"/>
  <c r="V104" i="11"/>
  <c r="X104" i="11" s="1"/>
  <c r="Y104" i="11" s="1"/>
  <c r="U105" i="11" s="1"/>
  <c r="AA110" i="11"/>
  <c r="AB111" i="11"/>
  <c r="AE116" i="11"/>
  <c r="O264" i="11"/>
  <c r="N263" i="11"/>
  <c r="W105" i="11" l="1"/>
  <c r="V105" i="11"/>
  <c r="X105" i="11" s="1"/>
  <c r="Y105" i="11" s="1"/>
  <c r="U106" i="11" s="1"/>
  <c r="N264" i="11"/>
  <c r="O265" i="11"/>
  <c r="AE117" i="11"/>
  <c r="AA111" i="11"/>
  <c r="AB112" i="11"/>
  <c r="W106" i="11" l="1"/>
  <c r="V106" i="11"/>
  <c r="X106" i="11" s="1"/>
  <c r="Y106" i="11" s="1"/>
  <c r="U107" i="11" s="1"/>
  <c r="AE118" i="11"/>
  <c r="O266" i="11"/>
  <c r="N265" i="11"/>
  <c r="AA112" i="11"/>
  <c r="AB113" i="11"/>
  <c r="W107" i="11" l="1"/>
  <c r="V107" i="11"/>
  <c r="X107" i="11" s="1"/>
  <c r="Y107" i="11" s="1"/>
  <c r="U108" i="11" s="1"/>
  <c r="N266" i="11"/>
  <c r="O267" i="11"/>
  <c r="AE119" i="11"/>
  <c r="AA113" i="11"/>
  <c r="AB114" i="11"/>
  <c r="W108" i="11" l="1"/>
  <c r="V108" i="11"/>
  <c r="X108" i="11" s="1"/>
  <c r="Y108" i="11" s="1"/>
  <c r="U109" i="11" s="1"/>
  <c r="O268" i="11"/>
  <c r="N267" i="11"/>
  <c r="AE120" i="11"/>
  <c r="AA114" i="11"/>
  <c r="AB115" i="11"/>
  <c r="W109" i="11" l="1"/>
  <c r="V109" i="11"/>
  <c r="X109" i="11" s="1"/>
  <c r="Y109" i="11" s="1"/>
  <c r="U110" i="11" s="1"/>
  <c r="AE121" i="11"/>
  <c r="O269" i="11"/>
  <c r="N268" i="11"/>
  <c r="AA115" i="11"/>
  <c r="AB116" i="11"/>
  <c r="W110" i="11" l="1"/>
  <c r="V110" i="11"/>
  <c r="X110" i="11" s="1"/>
  <c r="Y110" i="11" s="1"/>
  <c r="U111" i="11" s="1"/>
  <c r="O270" i="11"/>
  <c r="N269" i="11"/>
  <c r="AE122" i="11"/>
  <c r="AA116" i="11"/>
  <c r="AB117" i="11"/>
  <c r="W111" i="11" l="1"/>
  <c r="V111" i="11"/>
  <c r="X111" i="11" s="1"/>
  <c r="Y111" i="11" s="1"/>
  <c r="U112" i="11" s="1"/>
  <c r="O271" i="11"/>
  <c r="N270" i="11"/>
  <c r="AE123" i="11"/>
  <c r="AA117" i="11"/>
  <c r="AB118" i="11"/>
  <c r="W112" i="11" l="1"/>
  <c r="V112" i="11"/>
  <c r="X112" i="11" s="1"/>
  <c r="Y112" i="11" s="1"/>
  <c r="U113" i="11" s="1"/>
  <c r="AE124" i="11"/>
  <c r="N271" i="11"/>
  <c r="O272" i="11"/>
  <c r="AA118" i="11"/>
  <c r="AB119" i="11"/>
  <c r="W113" i="11" l="1"/>
  <c r="V113" i="11"/>
  <c r="X113" i="11" s="1"/>
  <c r="Y113" i="11" s="1"/>
  <c r="U114" i="11" s="1"/>
  <c r="O273" i="11"/>
  <c r="N272" i="11"/>
  <c r="AE125" i="11"/>
  <c r="AA119" i="11"/>
  <c r="AB120" i="11"/>
  <c r="W114" i="11" l="1"/>
  <c r="V114" i="11"/>
  <c r="X114" i="11" s="1"/>
  <c r="Y114" i="11" s="1"/>
  <c r="U115" i="11" s="1"/>
  <c r="O274" i="11"/>
  <c r="N273" i="11"/>
  <c r="AE126" i="11"/>
  <c r="AA120" i="11"/>
  <c r="AB121" i="11"/>
  <c r="W115" i="11" l="1"/>
  <c r="V115" i="11"/>
  <c r="X115" i="11" s="1"/>
  <c r="Y115" i="11" s="1"/>
  <c r="U116" i="11" s="1"/>
  <c r="O275" i="11"/>
  <c r="N274" i="11"/>
  <c r="AE127" i="11"/>
  <c r="AA121" i="11"/>
  <c r="AB122" i="11"/>
  <c r="W116" i="11" l="1"/>
  <c r="V116" i="11"/>
  <c r="X116" i="11" s="1"/>
  <c r="Y116" i="11" s="1"/>
  <c r="U117" i="11" s="1"/>
  <c r="N275" i="11"/>
  <c r="O276" i="11"/>
  <c r="AE128" i="11"/>
  <c r="AA122" i="11"/>
  <c r="AB123" i="11"/>
  <c r="W117" i="11" l="1"/>
  <c r="V117" i="11"/>
  <c r="X117" i="11" s="1"/>
  <c r="Y117" i="11" s="1"/>
  <c r="U118" i="11" s="1"/>
  <c r="AE129" i="11"/>
  <c r="O277" i="11"/>
  <c r="N276" i="11"/>
  <c r="AA123" i="11"/>
  <c r="AB124" i="11"/>
  <c r="W118" i="11" l="1"/>
  <c r="V118" i="11"/>
  <c r="X118" i="11" s="1"/>
  <c r="Y118" i="11" s="1"/>
  <c r="U119" i="11" s="1"/>
  <c r="O278" i="11"/>
  <c r="N277" i="11"/>
  <c r="AE130" i="11"/>
  <c r="AA124" i="11"/>
  <c r="AB125" i="11"/>
  <c r="W119" i="11" l="1"/>
  <c r="V119" i="11"/>
  <c r="X119" i="11" s="1"/>
  <c r="Y119" i="11" s="1"/>
  <c r="U120" i="11" s="1"/>
  <c r="AE131" i="11"/>
  <c r="O279" i="11"/>
  <c r="N278" i="11"/>
  <c r="AA125" i="11"/>
  <c r="AB126" i="11"/>
  <c r="W120" i="11" l="1"/>
  <c r="V120" i="11"/>
  <c r="X120" i="11" s="1"/>
  <c r="Y120" i="11" s="1"/>
  <c r="U121" i="11" s="1"/>
  <c r="AE132" i="11"/>
  <c r="N279" i="11"/>
  <c r="O280" i="11"/>
  <c r="AA126" i="11"/>
  <c r="AB127" i="11"/>
  <c r="W121" i="11" l="1"/>
  <c r="V121" i="11"/>
  <c r="X121" i="11" s="1"/>
  <c r="Y121" i="11" s="1"/>
  <c r="U122" i="11" s="1"/>
  <c r="O281" i="11"/>
  <c r="N280" i="11"/>
  <c r="AE133" i="11"/>
  <c r="AA127" i="11"/>
  <c r="AB128" i="11"/>
  <c r="W122" i="11" l="1"/>
  <c r="V122" i="11"/>
  <c r="X122" i="11" s="1"/>
  <c r="Y122" i="11" s="1"/>
  <c r="U123" i="11" s="1"/>
  <c r="AE134" i="11"/>
  <c r="O282" i="11"/>
  <c r="N281" i="11"/>
  <c r="AA128" i="11"/>
  <c r="AB129" i="11"/>
  <c r="W123" i="11" l="1"/>
  <c r="V123" i="11"/>
  <c r="X123" i="11" s="1"/>
  <c r="Y123" i="11" s="1"/>
  <c r="U124" i="11" s="1"/>
  <c r="O283" i="11"/>
  <c r="N282" i="11"/>
  <c r="AE135" i="11"/>
  <c r="AA129" i="11"/>
  <c r="AB130" i="11"/>
  <c r="W124" i="11" l="1"/>
  <c r="V124" i="11"/>
  <c r="X124" i="11" s="1"/>
  <c r="Y124" i="11" s="1"/>
  <c r="U125" i="11" s="1"/>
  <c r="AE136" i="11"/>
  <c r="O284" i="11"/>
  <c r="N283" i="11"/>
  <c r="AA130" i="11"/>
  <c r="AB131" i="11"/>
  <c r="W125" i="11" l="1"/>
  <c r="V125" i="11"/>
  <c r="X125" i="11" s="1"/>
  <c r="Y125" i="11" s="1"/>
  <c r="U126" i="11" s="1"/>
  <c r="O285" i="11"/>
  <c r="N284" i="11"/>
  <c r="AE137" i="11"/>
  <c r="AA131" i="11"/>
  <c r="AB132" i="11"/>
  <c r="W126" i="11" l="1"/>
  <c r="V126" i="11"/>
  <c r="X126" i="11" s="1"/>
  <c r="Y126" i="11" s="1"/>
  <c r="U127" i="11" s="1"/>
  <c r="AE138" i="11"/>
  <c r="O286" i="11"/>
  <c r="N285" i="11"/>
  <c r="AA132" i="11"/>
  <c r="AB133" i="11"/>
  <c r="W127" i="11" l="1"/>
  <c r="V127" i="11"/>
  <c r="X127" i="11" s="1"/>
  <c r="Y127" i="11" s="1"/>
  <c r="U128" i="11" s="1"/>
  <c r="O287" i="11"/>
  <c r="N286" i="11"/>
  <c r="AE139" i="11"/>
  <c r="AA133" i="11"/>
  <c r="AB134" i="11"/>
  <c r="W128" i="11" l="1"/>
  <c r="V128" i="11"/>
  <c r="X128" i="11" s="1"/>
  <c r="Y128" i="11" s="1"/>
  <c r="U129" i="11" s="1"/>
  <c r="AE140" i="11"/>
  <c r="O288" i="11"/>
  <c r="N287" i="11"/>
  <c r="AA134" i="11"/>
  <c r="AB135" i="11"/>
  <c r="W129" i="11" l="1"/>
  <c r="V129" i="11"/>
  <c r="X129" i="11" s="1"/>
  <c r="Y129" i="11" s="1"/>
  <c r="U130" i="11" s="1"/>
  <c r="O289" i="11"/>
  <c r="N288" i="11"/>
  <c r="AE141" i="11"/>
  <c r="AA135" i="11"/>
  <c r="AB136" i="11"/>
  <c r="W130" i="11" l="1"/>
  <c r="V130" i="11"/>
  <c r="X130" i="11" s="1"/>
  <c r="Y130" i="11" s="1"/>
  <c r="U131" i="11" s="1"/>
  <c r="AE142" i="11"/>
  <c r="O290" i="11"/>
  <c r="N289" i="11"/>
  <c r="AA136" i="11"/>
  <c r="AB137" i="11"/>
  <c r="W131" i="11" l="1"/>
  <c r="V131" i="11"/>
  <c r="X131" i="11" s="1"/>
  <c r="Y131" i="11" s="1"/>
  <c r="U132" i="11" s="1"/>
  <c r="O291" i="11"/>
  <c r="N290" i="11"/>
  <c r="AE143" i="11"/>
  <c r="AA137" i="11"/>
  <c r="AB138" i="11"/>
  <c r="W132" i="11" l="1"/>
  <c r="V132" i="11"/>
  <c r="X132" i="11" s="1"/>
  <c r="Y132" i="11" s="1"/>
  <c r="U133" i="11" s="1"/>
  <c r="AE144" i="11"/>
  <c r="N291" i="11"/>
  <c r="O292" i="11"/>
  <c r="AA138" i="11"/>
  <c r="AB139" i="11"/>
  <c r="W133" i="11" l="1"/>
  <c r="V133" i="11"/>
  <c r="X133" i="11" s="1"/>
  <c r="Y133" i="11" s="1"/>
  <c r="U134" i="11" s="1"/>
  <c r="O293" i="11"/>
  <c r="N292" i="11"/>
  <c r="AE145" i="11"/>
  <c r="AA139" i="11"/>
  <c r="AB140" i="11"/>
  <c r="W134" i="11" l="1"/>
  <c r="V134" i="11"/>
  <c r="X134" i="11" s="1"/>
  <c r="Y134" i="11" s="1"/>
  <c r="U135" i="11" s="1"/>
  <c r="N293" i="11"/>
  <c r="O294" i="11"/>
  <c r="AE146" i="11"/>
  <c r="AA140" i="11"/>
  <c r="AB141" i="11"/>
  <c r="W135" i="11" l="1"/>
  <c r="V135" i="11"/>
  <c r="X135" i="11" s="1"/>
  <c r="Y135" i="11" s="1"/>
  <c r="U136" i="11" s="1"/>
  <c r="O295" i="11"/>
  <c r="N294" i="11"/>
  <c r="AE147" i="11"/>
  <c r="AA141" i="11"/>
  <c r="AB142" i="11"/>
  <c r="W136" i="11" l="1"/>
  <c r="V136" i="11"/>
  <c r="X136" i="11" s="1"/>
  <c r="Y136" i="11" s="1"/>
  <c r="U137" i="11" s="1"/>
  <c r="AA142" i="11"/>
  <c r="AB143" i="11"/>
  <c r="AE148" i="11"/>
  <c r="O296" i="11"/>
  <c r="N295" i="11"/>
  <c r="W137" i="11" l="1"/>
  <c r="V137" i="11"/>
  <c r="X137" i="11" s="1"/>
  <c r="Y137" i="11" s="1"/>
  <c r="U138" i="11" s="1"/>
  <c r="O297" i="11"/>
  <c r="N296" i="11"/>
  <c r="AE149" i="11"/>
  <c r="AA143" i="11"/>
  <c r="AB144" i="11"/>
  <c r="W138" i="11" l="1"/>
  <c r="V138" i="11"/>
  <c r="X138" i="11" s="1"/>
  <c r="Y138" i="11" s="1"/>
  <c r="U139" i="11" s="1"/>
  <c r="AE150" i="11"/>
  <c r="O298" i="11"/>
  <c r="N297" i="11"/>
  <c r="AA144" i="11"/>
  <c r="AB145" i="11"/>
  <c r="W139" i="11" l="1"/>
  <c r="V139" i="11"/>
  <c r="X139" i="11" s="1"/>
  <c r="Y139" i="11" s="1"/>
  <c r="U140" i="11" s="1"/>
  <c r="AE151" i="11"/>
  <c r="O299" i="11"/>
  <c r="N298" i="11"/>
  <c r="AA145" i="11"/>
  <c r="AB146" i="11"/>
  <c r="W140" i="11" l="1"/>
  <c r="V140" i="11"/>
  <c r="X140" i="11" s="1"/>
  <c r="Y140" i="11" s="1"/>
  <c r="U141" i="11" s="1"/>
  <c r="O300" i="11"/>
  <c r="N299" i="11"/>
  <c r="AE152" i="11"/>
  <c r="AA146" i="11"/>
  <c r="AB147" i="11"/>
  <c r="W141" i="11" l="1"/>
  <c r="V141" i="11"/>
  <c r="X141" i="11" s="1"/>
  <c r="Y141" i="11" s="1"/>
  <c r="U142" i="11" s="1"/>
  <c r="N300" i="11"/>
  <c r="O301" i="11"/>
  <c r="AE153" i="11"/>
  <c r="AA147" i="11"/>
  <c r="AB148" i="11"/>
  <c r="W142" i="11" l="1"/>
  <c r="V142" i="11"/>
  <c r="O302" i="11"/>
  <c r="N301" i="11"/>
  <c r="AE154" i="11"/>
  <c r="AA148" i="11"/>
  <c r="AB149" i="11"/>
  <c r="AE155" i="11" l="1"/>
  <c r="N302" i="11"/>
  <c r="O303" i="11"/>
  <c r="X142" i="11"/>
  <c r="Y142" i="11" s="1"/>
  <c r="U143" i="11" s="1"/>
  <c r="AA149" i="11"/>
  <c r="AB150" i="11"/>
  <c r="AA150" i="11" l="1"/>
  <c r="AB151" i="11"/>
  <c r="N303" i="11"/>
  <c r="O304" i="11"/>
  <c r="AE156" i="11"/>
  <c r="W143" i="11"/>
  <c r="V143" i="11"/>
  <c r="AE157" i="11" l="1"/>
  <c r="O305" i="11"/>
  <c r="N304" i="11"/>
  <c r="AA151" i="11"/>
  <c r="AB152" i="11"/>
  <c r="X143" i="11"/>
  <c r="Y143" i="11" s="1"/>
  <c r="U144" i="11" s="1"/>
  <c r="W144" i="11" l="1"/>
  <c r="V144" i="11"/>
  <c r="X144" i="11" s="1"/>
  <c r="Y144" i="11" s="1"/>
  <c r="U145" i="11" s="1"/>
  <c r="AA152" i="11"/>
  <c r="AB153" i="11"/>
  <c r="N305" i="11"/>
  <c r="O306" i="11"/>
  <c r="AE158" i="11"/>
  <c r="W145" i="11" l="1"/>
  <c r="V145" i="11"/>
  <c r="AE159" i="11"/>
  <c r="O307" i="11"/>
  <c r="N306" i="11"/>
  <c r="AA153" i="11"/>
  <c r="AB154" i="11"/>
  <c r="X145" i="11" l="1"/>
  <c r="Y145" i="11" s="1"/>
  <c r="U146" i="11" s="1"/>
  <c r="AE160" i="11"/>
  <c r="N307" i="11"/>
  <c r="O308" i="11"/>
  <c r="AA154" i="11"/>
  <c r="AB155" i="11"/>
  <c r="N308" i="11" l="1"/>
  <c r="O309" i="11"/>
  <c r="AA155" i="11"/>
  <c r="AB156" i="11"/>
  <c r="AE161" i="11"/>
  <c r="W146" i="11"/>
  <c r="V146" i="11"/>
  <c r="AE162" i="11" l="1"/>
  <c r="AA156" i="11"/>
  <c r="AB157" i="11"/>
  <c r="N309" i="11"/>
  <c r="O310" i="11"/>
  <c r="X146" i="11"/>
  <c r="Y146" i="11" s="1"/>
  <c r="U147" i="11" s="1"/>
  <c r="O311" i="11" l="1"/>
  <c r="N310" i="11"/>
  <c r="W147" i="11"/>
  <c r="V147" i="11"/>
  <c r="X147" i="11" s="1"/>
  <c r="Y147" i="11" s="1"/>
  <c r="U148" i="11" s="1"/>
  <c r="AA157" i="11"/>
  <c r="AB158" i="11"/>
  <c r="AE163" i="11"/>
  <c r="W148" i="11" l="1"/>
  <c r="V148" i="11"/>
  <c r="X148" i="11" s="1"/>
  <c r="Y148" i="11" s="1"/>
  <c r="U149" i="11" s="1"/>
  <c r="AA158" i="11"/>
  <c r="AB159" i="11"/>
  <c r="AE164" i="11"/>
  <c r="O312" i="11"/>
  <c r="N311" i="11"/>
  <c r="W149" i="11" l="1"/>
  <c r="V149" i="11"/>
  <c r="X149" i="11" s="1"/>
  <c r="Y149" i="11" s="1"/>
  <c r="U150" i="11" s="1"/>
  <c r="AE165" i="11"/>
  <c r="N312" i="11"/>
  <c r="O313" i="11"/>
  <c r="AA159" i="11"/>
  <c r="AB160" i="11"/>
  <c r="W150" i="11" l="1"/>
  <c r="V150" i="11"/>
  <c r="X150" i="11" s="1"/>
  <c r="Y150" i="11" s="1"/>
  <c r="U151" i="11" s="1"/>
  <c r="AE166" i="11"/>
  <c r="O314" i="11"/>
  <c r="N313" i="11"/>
  <c r="AA160" i="11"/>
  <c r="AB161" i="11"/>
  <c r="W151" i="11" l="1"/>
  <c r="V151" i="11"/>
  <c r="X151" i="11" s="1"/>
  <c r="Y151" i="11" s="1"/>
  <c r="U152" i="11" s="1"/>
  <c r="O315" i="11"/>
  <c r="N314" i="11"/>
  <c r="AE167" i="11"/>
  <c r="AA161" i="11"/>
  <c r="AB162" i="11"/>
  <c r="W152" i="11" l="1"/>
  <c r="V152" i="11"/>
  <c r="X152" i="11" s="1"/>
  <c r="Y152" i="11" s="1"/>
  <c r="U153" i="11" s="1"/>
  <c r="AE168" i="11"/>
  <c r="O316" i="11"/>
  <c r="N315" i="11"/>
  <c r="AA162" i="11"/>
  <c r="AB163" i="11"/>
  <c r="W153" i="11" l="1"/>
  <c r="V153" i="11"/>
  <c r="X153" i="11" s="1"/>
  <c r="Y153" i="11" s="1"/>
  <c r="U154" i="11" s="1"/>
  <c r="AE169" i="11"/>
  <c r="O317" i="11"/>
  <c r="N316" i="11"/>
  <c r="AA163" i="11"/>
  <c r="AB164" i="11"/>
  <c r="W154" i="11" l="1"/>
  <c r="V154" i="11"/>
  <c r="X154" i="11" s="1"/>
  <c r="Y154" i="11" s="1"/>
  <c r="U155" i="11" s="1"/>
  <c r="AE170" i="11"/>
  <c r="O318" i="11"/>
  <c r="N317" i="11"/>
  <c r="AA164" i="11"/>
  <c r="AB165" i="11"/>
  <c r="W155" i="11" l="1"/>
  <c r="V155" i="11"/>
  <c r="X155" i="11" s="1"/>
  <c r="Y155" i="11" s="1"/>
  <c r="U156" i="11" s="1"/>
  <c r="O319" i="11"/>
  <c r="N318" i="11"/>
  <c r="AE171" i="11"/>
  <c r="AA165" i="11"/>
  <c r="AB166" i="11"/>
  <c r="W156" i="11" l="1"/>
  <c r="V156" i="11"/>
  <c r="X156" i="11" s="1"/>
  <c r="Y156" i="11" s="1"/>
  <c r="U157" i="11" s="1"/>
  <c r="AE172" i="11"/>
  <c r="O320" i="11"/>
  <c r="N319" i="11"/>
  <c r="AA166" i="11"/>
  <c r="AB167" i="11"/>
  <c r="W157" i="11" l="1"/>
  <c r="V157" i="11"/>
  <c r="X157" i="11" s="1"/>
  <c r="Y157" i="11" s="1"/>
  <c r="U158" i="11" s="1"/>
  <c r="O321" i="11"/>
  <c r="N320" i="11"/>
  <c r="AE173" i="11"/>
  <c r="AA167" i="11"/>
  <c r="AB168" i="11"/>
  <c r="W158" i="11" l="1"/>
  <c r="V158" i="11"/>
  <c r="X158" i="11" s="1"/>
  <c r="Y158" i="11" s="1"/>
  <c r="U159" i="11" s="1"/>
  <c r="AE174" i="11"/>
  <c r="O322" i="11"/>
  <c r="N321" i="11"/>
  <c r="AA168" i="11"/>
  <c r="AB169" i="11"/>
  <c r="W159" i="11" l="1"/>
  <c r="V159" i="11"/>
  <c r="X159" i="11" s="1"/>
  <c r="Y159" i="11" s="1"/>
  <c r="U160" i="11" s="1"/>
  <c r="O323" i="11"/>
  <c r="N322" i="11"/>
  <c r="AE175" i="11"/>
  <c r="AA169" i="11"/>
  <c r="AB170" i="11"/>
  <c r="W160" i="11" l="1"/>
  <c r="V160" i="11"/>
  <c r="X160" i="11" s="1"/>
  <c r="Y160" i="11" s="1"/>
  <c r="U161" i="11" s="1"/>
  <c r="AE176" i="11"/>
  <c r="O324" i="11"/>
  <c r="N323" i="11"/>
  <c r="AA170" i="11"/>
  <c r="AB171" i="11"/>
  <c r="W161" i="11" l="1"/>
  <c r="V161" i="11"/>
  <c r="X161" i="11" s="1"/>
  <c r="Y161" i="11" s="1"/>
  <c r="U162" i="11" s="1"/>
  <c r="O325" i="11"/>
  <c r="N324" i="11"/>
  <c r="AE177" i="11"/>
  <c r="AA171" i="11"/>
  <c r="AB172" i="11"/>
  <c r="W162" i="11" l="1"/>
  <c r="V162" i="11"/>
  <c r="X162" i="11" s="1"/>
  <c r="Y162" i="11" s="1"/>
  <c r="U163" i="11" s="1"/>
  <c r="O326" i="11"/>
  <c r="N325" i="11"/>
  <c r="AE178" i="11"/>
  <c r="AA172" i="11"/>
  <c r="AB173" i="11"/>
  <c r="W163" i="11" l="1"/>
  <c r="V163" i="11"/>
  <c r="X163" i="11" s="1"/>
  <c r="Y163" i="11" s="1"/>
  <c r="U164" i="11" s="1"/>
  <c r="AE179" i="11"/>
  <c r="O327" i="11"/>
  <c r="N326" i="11"/>
  <c r="AA173" i="11"/>
  <c r="AB174" i="11"/>
  <c r="W164" i="11" l="1"/>
  <c r="V164" i="11"/>
  <c r="X164" i="11" s="1"/>
  <c r="Y164" i="11" s="1"/>
  <c r="U165" i="11" s="1"/>
  <c r="AE180" i="11"/>
  <c r="O328" i="11"/>
  <c r="N327" i="11"/>
  <c r="AA174" i="11"/>
  <c r="AB175" i="11"/>
  <c r="W165" i="11" l="1"/>
  <c r="V165" i="11"/>
  <c r="X165" i="11" s="1"/>
  <c r="Y165" i="11" s="1"/>
  <c r="U166" i="11" s="1"/>
  <c r="O329" i="11"/>
  <c r="N328" i="11"/>
  <c r="AE181" i="11"/>
  <c r="AA175" i="11"/>
  <c r="AB176" i="11"/>
  <c r="W166" i="11" l="1"/>
  <c r="V166" i="11"/>
  <c r="X166" i="11" s="1"/>
  <c r="Y166" i="11" s="1"/>
  <c r="U167" i="11" s="1"/>
  <c r="O330" i="11"/>
  <c r="N329" i="11"/>
  <c r="AE182" i="11"/>
  <c r="AA176" i="11"/>
  <c r="AB177" i="11"/>
  <c r="W167" i="11" l="1"/>
  <c r="V167" i="11"/>
  <c r="X167" i="11" s="1"/>
  <c r="Y167" i="11" s="1"/>
  <c r="U168" i="11" s="1"/>
  <c r="N330" i="11"/>
  <c r="O331" i="11"/>
  <c r="AE183" i="11"/>
  <c r="AA177" i="11"/>
  <c r="AB178" i="11"/>
  <c r="W168" i="11" l="1"/>
  <c r="V168" i="11"/>
  <c r="X168" i="11" s="1"/>
  <c r="Y168" i="11" s="1"/>
  <c r="U169" i="11" s="1"/>
  <c r="N331" i="11"/>
  <c r="O332" i="11"/>
  <c r="AE184" i="11"/>
  <c r="AA178" i="11"/>
  <c r="AB179" i="11"/>
  <c r="W169" i="11" l="1"/>
  <c r="V169" i="11"/>
  <c r="X169" i="11" s="1"/>
  <c r="O333" i="11"/>
  <c r="N332" i="11"/>
  <c r="AE185" i="11"/>
  <c r="AA179" i="11"/>
  <c r="AB180" i="11"/>
  <c r="AE186" i="11" l="1"/>
  <c r="O334" i="11"/>
  <c r="N333" i="11"/>
  <c r="AA180" i="11"/>
  <c r="AB181" i="11"/>
  <c r="Y169" i="11"/>
  <c r="U170" i="11" s="1"/>
  <c r="AA181" i="11" l="1"/>
  <c r="AB182" i="11"/>
  <c r="O335" i="11"/>
  <c r="N334" i="11"/>
  <c r="AE187" i="11"/>
  <c r="W170" i="11"/>
  <c r="V170" i="11"/>
  <c r="O336" i="11" l="1"/>
  <c r="N335" i="11"/>
  <c r="AA182" i="11"/>
  <c r="AB183" i="11"/>
  <c r="AE188" i="11"/>
  <c r="X170" i="11"/>
  <c r="Y170" i="11" l="1"/>
  <c r="U171" i="11" s="1"/>
  <c r="AE189" i="11"/>
  <c r="AA183" i="11"/>
  <c r="AB184" i="11"/>
  <c r="O337" i="11"/>
  <c r="N336" i="11"/>
  <c r="AA184" i="11" l="1"/>
  <c r="AB185" i="11"/>
  <c r="O338" i="11"/>
  <c r="N337" i="11"/>
  <c r="AE190" i="11"/>
  <c r="W171" i="11"/>
  <c r="V171" i="11"/>
  <c r="AE191" i="11" l="1"/>
  <c r="O339" i="11"/>
  <c r="N338" i="11"/>
  <c r="AA185" i="11"/>
  <c r="AB186" i="11"/>
  <c r="X171" i="11"/>
  <c r="AA186" i="11" l="1"/>
  <c r="AB187" i="11"/>
  <c r="O340" i="11"/>
  <c r="N339" i="11"/>
  <c r="Y171" i="11"/>
  <c r="U172" i="11" s="1"/>
  <c r="AE192" i="11"/>
  <c r="AE193" i="11" l="1"/>
  <c r="W172" i="11"/>
  <c r="V172" i="11"/>
  <c r="X172" i="11" s="1"/>
  <c r="Y172" i="11" s="1"/>
  <c r="U173" i="11" s="1"/>
  <c r="O341" i="11"/>
  <c r="N340" i="11"/>
  <c r="AA187" i="11"/>
  <c r="AB188" i="11"/>
  <c r="W173" i="11" l="1"/>
  <c r="V173" i="11"/>
  <c r="X173" i="11" s="1"/>
  <c r="Y173" i="11" s="1"/>
  <c r="U174" i="11" s="1"/>
  <c r="O342" i="11"/>
  <c r="N341" i="11"/>
  <c r="AA188" i="11"/>
  <c r="AB189" i="11"/>
  <c r="AE194" i="11"/>
  <c r="W174" i="11" l="1"/>
  <c r="V174" i="11"/>
  <c r="X174" i="11" s="1"/>
  <c r="Y174" i="11" s="1"/>
  <c r="U175" i="11" s="1"/>
  <c r="AA189" i="11"/>
  <c r="AB190" i="11"/>
  <c r="O343" i="11"/>
  <c r="N342" i="11"/>
  <c r="AE195" i="11"/>
  <c r="W175" i="11" l="1"/>
  <c r="V175" i="11"/>
  <c r="X175" i="11" s="1"/>
  <c r="Y175" i="11" s="1"/>
  <c r="U176" i="11" s="1"/>
  <c r="AA190" i="11"/>
  <c r="AB191" i="11"/>
  <c r="O344" i="11"/>
  <c r="N343" i="11"/>
  <c r="AE196" i="11"/>
  <c r="W176" i="11" l="1"/>
  <c r="V176" i="11"/>
  <c r="X176" i="11" s="1"/>
  <c r="Y176" i="11" s="1"/>
  <c r="U177" i="11" s="1"/>
  <c r="AA191" i="11"/>
  <c r="AB192" i="11"/>
  <c r="O345" i="11"/>
  <c r="N344" i="11"/>
  <c r="AE197" i="11"/>
  <c r="W177" i="11" l="1"/>
  <c r="V177" i="11"/>
  <c r="X177" i="11" s="1"/>
  <c r="Y177" i="11" s="1"/>
  <c r="U178" i="11" s="1"/>
  <c r="AA192" i="11"/>
  <c r="AB193" i="11"/>
  <c r="O346" i="11"/>
  <c r="N345" i="11"/>
  <c r="AE198" i="11"/>
  <c r="W178" i="11" l="1"/>
  <c r="V178" i="11"/>
  <c r="X178" i="11" s="1"/>
  <c r="Y178" i="11" s="1"/>
  <c r="U179" i="11" s="1"/>
  <c r="AA193" i="11"/>
  <c r="AB194" i="11"/>
  <c r="O347" i="11"/>
  <c r="N346" i="11"/>
  <c r="AE199" i="11"/>
  <c r="W179" i="11" l="1"/>
  <c r="V179" i="11"/>
  <c r="X179" i="11" s="1"/>
  <c r="Y179" i="11" s="1"/>
  <c r="U180" i="11" s="1"/>
  <c r="AE200" i="11"/>
  <c r="O348" i="11"/>
  <c r="N347" i="11"/>
  <c r="AA194" i="11"/>
  <c r="AB195" i="11"/>
  <c r="W180" i="11" l="1"/>
  <c r="V180" i="11"/>
  <c r="X180" i="11" s="1"/>
  <c r="Y180" i="11" s="1"/>
  <c r="U181" i="11" s="1"/>
  <c r="O349" i="11"/>
  <c r="N348" i="11"/>
  <c r="AE201" i="11"/>
  <c r="AA195" i="11"/>
  <c r="AB196" i="11"/>
  <c r="W181" i="11" l="1"/>
  <c r="V181" i="11"/>
  <c r="X181" i="11" s="1"/>
  <c r="AE202" i="11"/>
  <c r="O350" i="11"/>
  <c r="N349" i="11"/>
  <c r="AA196" i="11"/>
  <c r="AB197" i="11"/>
  <c r="O351" i="11" l="1"/>
  <c r="N350" i="11"/>
  <c r="AE203" i="11"/>
  <c r="AA197" i="11"/>
  <c r="AB198" i="11"/>
  <c r="Y181" i="11"/>
  <c r="U182" i="11" s="1"/>
  <c r="AE204" i="11" l="1"/>
  <c r="AA198" i="11"/>
  <c r="AB199" i="11"/>
  <c r="W182" i="11"/>
  <c r="V182" i="11"/>
  <c r="X182" i="11" s="1"/>
  <c r="Y182" i="11" s="1"/>
  <c r="U183" i="11" s="1"/>
  <c r="O352" i="11"/>
  <c r="N351" i="11"/>
  <c r="W183" i="11" l="1"/>
  <c r="V183" i="11"/>
  <c r="X183" i="11" s="1"/>
  <c r="Y183" i="11" s="1"/>
  <c r="U184" i="11" s="1"/>
  <c r="O353" i="11"/>
  <c r="N352" i="11"/>
  <c r="AA199" i="11"/>
  <c r="AB200" i="11"/>
  <c r="AE205" i="11"/>
  <c r="W184" i="11" l="1"/>
  <c r="V184" i="11"/>
  <c r="X184" i="11" s="1"/>
  <c r="Y184" i="11" s="1"/>
  <c r="U185" i="11" s="1"/>
  <c r="N353" i="11"/>
  <c r="O354" i="11"/>
  <c r="AA200" i="11"/>
  <c r="AB201" i="11"/>
  <c r="AE206" i="11"/>
  <c r="W185" i="11" l="1"/>
  <c r="V185" i="11"/>
  <c r="X185" i="11" s="1"/>
  <c r="Y185" i="11" s="1"/>
  <c r="U186" i="11" s="1"/>
  <c r="AE207" i="11"/>
  <c r="AA201" i="11"/>
  <c r="AB202" i="11"/>
  <c r="O355" i="11"/>
  <c r="N354" i="11"/>
  <c r="W186" i="11" l="1"/>
  <c r="V186" i="11"/>
  <c r="X186" i="11" s="1"/>
  <c r="Y186" i="11" s="1"/>
  <c r="U187" i="11" s="1"/>
  <c r="N355" i="11"/>
  <c r="O356" i="11"/>
  <c r="AE208" i="11"/>
  <c r="AA202" i="11"/>
  <c r="AB203" i="11"/>
  <c r="W187" i="11" l="1"/>
  <c r="V187" i="11"/>
  <c r="X187" i="11" s="1"/>
  <c r="Y187" i="11" s="1"/>
  <c r="U188" i="11" s="1"/>
  <c r="AE209" i="11"/>
  <c r="O357" i="11"/>
  <c r="N356" i="11"/>
  <c r="AA203" i="11"/>
  <c r="AB204" i="11"/>
  <c r="W188" i="11" l="1"/>
  <c r="V188" i="11"/>
  <c r="X188" i="11" s="1"/>
  <c r="Y188" i="11" s="1"/>
  <c r="U189" i="11" s="1"/>
  <c r="O358" i="11"/>
  <c r="N357" i="11"/>
  <c r="AE210" i="11"/>
  <c r="AA204" i="11"/>
  <c r="AB205" i="11"/>
  <c r="W189" i="11" l="1"/>
  <c r="V189" i="11"/>
  <c r="X189" i="11" s="1"/>
  <c r="Y189" i="11" s="1"/>
  <c r="U190" i="11" s="1"/>
  <c r="AE211" i="11"/>
  <c r="O359" i="11"/>
  <c r="N358" i="11"/>
  <c r="AA205" i="11"/>
  <c r="AB206" i="11"/>
  <c r="W190" i="11" l="1"/>
  <c r="V190" i="11"/>
  <c r="X190" i="11" s="1"/>
  <c r="Y190" i="11" s="1"/>
  <c r="U191" i="11" s="1"/>
  <c r="O360" i="11"/>
  <c r="N359" i="11"/>
  <c r="AE212" i="11"/>
  <c r="AA206" i="11"/>
  <c r="AB207" i="11"/>
  <c r="W191" i="11" l="1"/>
  <c r="V191" i="11"/>
  <c r="X191" i="11" s="1"/>
  <c r="Y191" i="11" s="1"/>
  <c r="U192" i="11" s="1"/>
  <c r="AE213" i="11"/>
  <c r="O361" i="11"/>
  <c r="N360" i="11"/>
  <c r="AA207" i="11"/>
  <c r="AB208" i="11"/>
  <c r="W192" i="11" l="1"/>
  <c r="V192" i="11"/>
  <c r="X192" i="11" s="1"/>
  <c r="Y192" i="11" s="1"/>
  <c r="U193" i="11" s="1"/>
  <c r="O362" i="11"/>
  <c r="N361" i="11"/>
  <c r="AA208" i="11"/>
  <c r="AB209" i="11"/>
  <c r="AE214" i="11"/>
  <c r="W193" i="11" l="1"/>
  <c r="V193" i="11"/>
  <c r="O363" i="11"/>
  <c r="N362" i="11"/>
  <c r="AE215" i="11"/>
  <c r="AA209" i="11"/>
  <c r="AB210" i="11"/>
  <c r="AE216" i="11" l="1"/>
  <c r="O364" i="11"/>
  <c r="N363" i="11"/>
  <c r="X193" i="11"/>
  <c r="AA210" i="11"/>
  <c r="AB211" i="11"/>
  <c r="O365" i="11" l="1"/>
  <c r="N364" i="11"/>
  <c r="AA211" i="11"/>
  <c r="AB212" i="11"/>
  <c r="Y193" i="11"/>
  <c r="U194" i="11" s="1"/>
  <c r="AE217" i="11"/>
  <c r="AE218" i="11" l="1"/>
  <c r="W194" i="11"/>
  <c r="V194" i="11"/>
  <c r="AA212" i="11"/>
  <c r="AB213" i="11"/>
  <c r="O366" i="11"/>
  <c r="N365" i="11"/>
  <c r="O367" i="11" l="1"/>
  <c r="N366" i="11"/>
  <c r="AA213" i="11"/>
  <c r="AB214" i="11"/>
  <c r="AE219" i="11"/>
  <c r="X194" i="11"/>
  <c r="Y194" i="11" l="1"/>
  <c r="U195" i="11" s="1"/>
  <c r="AE220" i="11"/>
  <c r="AA214" i="11"/>
  <c r="AB215" i="11"/>
  <c r="O368" i="11"/>
  <c r="N367" i="11"/>
  <c r="AE221" i="11" l="1"/>
  <c r="O369" i="11"/>
  <c r="N368" i="11"/>
  <c r="AA215" i="11"/>
  <c r="AB216" i="11"/>
  <c r="W195" i="11"/>
  <c r="V195" i="11"/>
  <c r="O370" i="11" l="1"/>
  <c r="N369" i="11"/>
  <c r="AA216" i="11"/>
  <c r="AB217" i="11"/>
  <c r="X195" i="11"/>
  <c r="AE222" i="11"/>
  <c r="AE223" i="11" l="1"/>
  <c r="Y195" i="11"/>
  <c r="U196" i="11" s="1"/>
  <c r="AA217" i="11"/>
  <c r="AB218" i="11"/>
  <c r="O371" i="11"/>
  <c r="N370" i="11"/>
  <c r="W196" i="11" l="1"/>
  <c r="V196" i="11"/>
  <c r="X196" i="11" s="1"/>
  <c r="AE224" i="11"/>
  <c r="O372" i="11"/>
  <c r="N371" i="11"/>
  <c r="AA218" i="11"/>
  <c r="AB219" i="11"/>
  <c r="O373" i="11" l="1"/>
  <c r="N372" i="11"/>
  <c r="AE225" i="11"/>
  <c r="AA219" i="11"/>
  <c r="AB220" i="11"/>
  <c r="Y196" i="11"/>
  <c r="U197" i="11" s="1"/>
  <c r="AA220" i="11" l="1"/>
  <c r="AB221" i="11"/>
  <c r="W197" i="11"/>
  <c r="V197" i="11"/>
  <c r="X197" i="11" s="1"/>
  <c r="Y197" i="11" s="1"/>
  <c r="U198" i="11" s="1"/>
  <c r="AE226" i="11"/>
  <c r="N373" i="11"/>
  <c r="O374" i="11"/>
  <c r="W198" i="11" l="1"/>
  <c r="V198" i="11"/>
  <c r="X198" i="11" s="1"/>
  <c r="Y198" i="11" s="1"/>
  <c r="U199" i="11" s="1"/>
  <c r="AE227" i="11"/>
  <c r="AA221" i="11"/>
  <c r="AB222" i="11"/>
  <c r="O375" i="11"/>
  <c r="N374" i="11"/>
  <c r="W199" i="11" l="1"/>
  <c r="V199" i="11"/>
  <c r="AA222" i="11"/>
  <c r="AB223" i="11"/>
  <c r="O376" i="11"/>
  <c r="N375" i="11"/>
  <c r="AE228" i="11"/>
  <c r="AE229" i="11" l="1"/>
  <c r="O377" i="11"/>
  <c r="N376" i="11"/>
  <c r="X199" i="11"/>
  <c r="Y199" i="11" s="1"/>
  <c r="U200" i="11" s="1"/>
  <c r="AA223" i="11"/>
  <c r="AB224" i="11"/>
  <c r="AA224" i="11" l="1"/>
  <c r="AB225" i="11"/>
  <c r="W200" i="11"/>
  <c r="V200" i="11"/>
  <c r="X200" i="11" s="1"/>
  <c r="Y200" i="11" s="1"/>
  <c r="U201" i="11" s="1"/>
  <c r="AE230" i="11"/>
  <c r="O378" i="11"/>
  <c r="N377" i="11"/>
  <c r="W201" i="11" l="1"/>
  <c r="V201" i="11"/>
  <c r="X201" i="11" s="1"/>
  <c r="Y201" i="11" s="1"/>
  <c r="U202" i="11" s="1"/>
  <c r="AE231" i="11"/>
  <c r="N378" i="11"/>
  <c r="O379" i="11"/>
  <c r="AA225" i="11"/>
  <c r="AB226" i="11"/>
  <c r="W202" i="11" l="1"/>
  <c r="V202" i="11"/>
  <c r="X202" i="11" s="1"/>
  <c r="Y202" i="11" s="1"/>
  <c r="U203" i="11" s="1"/>
  <c r="O380" i="11"/>
  <c r="N379" i="11"/>
  <c r="AE232" i="11"/>
  <c r="AA226" i="11"/>
  <c r="AB227" i="11"/>
  <c r="W203" i="11" l="1"/>
  <c r="V203" i="11"/>
  <c r="X203" i="11" s="1"/>
  <c r="Y203" i="11" s="1"/>
  <c r="U204" i="11" s="1"/>
  <c r="O381" i="11"/>
  <c r="N380" i="11"/>
  <c r="AE233" i="11"/>
  <c r="AA227" i="11"/>
  <c r="AB228" i="11"/>
  <c r="W204" i="11" l="1"/>
  <c r="V204" i="11"/>
  <c r="X204" i="11" s="1"/>
  <c r="Y204" i="11" s="1"/>
  <c r="U205" i="11" s="1"/>
  <c r="O382" i="11"/>
  <c r="N381" i="11"/>
  <c r="AE234" i="11"/>
  <c r="AA228" i="11"/>
  <c r="AB229" i="11"/>
  <c r="W205" i="11" l="1"/>
  <c r="V205" i="11"/>
  <c r="X205" i="11" s="1"/>
  <c r="AE235" i="11"/>
  <c r="O383" i="11"/>
  <c r="N382" i="11"/>
  <c r="AA229" i="11"/>
  <c r="AB230" i="11"/>
  <c r="O384" i="11" l="1"/>
  <c r="N383" i="11"/>
  <c r="AA230" i="11"/>
  <c r="AB231" i="11"/>
  <c r="AE236" i="11"/>
  <c r="Y205" i="11"/>
  <c r="U206" i="11" s="1"/>
  <c r="AE237" i="11" l="1"/>
  <c r="AA231" i="11"/>
  <c r="AB232" i="11"/>
  <c r="W206" i="11"/>
  <c r="V206" i="11"/>
  <c r="X206" i="11" s="1"/>
  <c r="Y206" i="11" s="1"/>
  <c r="U207" i="11" s="1"/>
  <c r="O385" i="11"/>
  <c r="N384" i="11"/>
  <c r="W207" i="11" l="1"/>
  <c r="V207" i="11"/>
  <c r="X207" i="11" s="1"/>
  <c r="Y207" i="11" s="1"/>
  <c r="U208" i="11" s="1"/>
  <c r="O386" i="11"/>
  <c r="N385" i="11"/>
  <c r="AA232" i="11"/>
  <c r="AB233" i="11"/>
  <c r="AE238" i="11"/>
  <c r="W208" i="11" l="1"/>
  <c r="V208" i="11"/>
  <c r="X208" i="11" s="1"/>
  <c r="Y208" i="11" s="1"/>
  <c r="U209" i="11" s="1"/>
  <c r="O387" i="11"/>
  <c r="N386" i="11"/>
  <c r="AE239" i="11"/>
  <c r="AA233" i="11"/>
  <c r="AB234" i="11"/>
  <c r="W209" i="11" l="1"/>
  <c r="V209" i="11"/>
  <c r="X209" i="11" s="1"/>
  <c r="Y209" i="11" s="1"/>
  <c r="U210" i="11" s="1"/>
  <c r="AE240" i="11"/>
  <c r="O388" i="11"/>
  <c r="N387" i="11"/>
  <c r="AA234" i="11"/>
  <c r="AB235" i="11"/>
  <c r="W210" i="11" l="1"/>
  <c r="V210" i="11"/>
  <c r="X210" i="11" s="1"/>
  <c r="Y210" i="11" s="1"/>
  <c r="U211" i="11" s="1"/>
  <c r="O389" i="11"/>
  <c r="N388" i="11"/>
  <c r="AE241" i="11"/>
  <c r="AA235" i="11"/>
  <c r="AB236" i="11"/>
  <c r="W211" i="11" l="1"/>
  <c r="V211" i="11"/>
  <c r="X211" i="11" s="1"/>
  <c r="Y211" i="11" s="1"/>
  <c r="U212" i="11" s="1"/>
  <c r="O390" i="11"/>
  <c r="N389" i="11"/>
  <c r="AE242" i="11"/>
  <c r="AA236" i="11"/>
  <c r="AB237" i="11"/>
  <c r="W212" i="11" l="1"/>
  <c r="V212" i="11"/>
  <c r="X212" i="11" s="1"/>
  <c r="Y212" i="11" s="1"/>
  <c r="U213" i="11" s="1"/>
  <c r="AE243" i="11"/>
  <c r="O391" i="11"/>
  <c r="N390" i="11"/>
  <c r="AA237" i="11"/>
  <c r="AB238" i="11"/>
  <c r="W213" i="11" l="1"/>
  <c r="V213" i="11"/>
  <c r="X213" i="11" s="1"/>
  <c r="Y213" i="11" s="1"/>
  <c r="U214" i="11" s="1"/>
  <c r="AE244" i="11"/>
  <c r="O392" i="11"/>
  <c r="N391" i="11"/>
  <c r="AA238" i="11"/>
  <c r="AB239" i="11"/>
  <c r="W214" i="11" l="1"/>
  <c r="V214" i="11"/>
  <c r="X214" i="11" s="1"/>
  <c r="Y214" i="11" s="1"/>
  <c r="U215" i="11" s="1"/>
  <c r="AE245" i="11"/>
  <c r="N392" i="11"/>
  <c r="O393" i="11"/>
  <c r="AA239" i="11"/>
  <c r="AB240" i="11"/>
  <c r="W215" i="11" l="1"/>
  <c r="V215" i="11"/>
  <c r="X215" i="11" s="1"/>
  <c r="Y215" i="11" s="1"/>
  <c r="U216" i="11" s="1"/>
  <c r="O394" i="11"/>
  <c r="N393" i="11"/>
  <c r="AE246" i="11"/>
  <c r="AA240" i="11"/>
  <c r="AB241" i="11"/>
  <c r="W216" i="11" l="1"/>
  <c r="V216" i="11"/>
  <c r="X216" i="11" s="1"/>
  <c r="Y216" i="11" s="1"/>
  <c r="U217" i="11" s="1"/>
  <c r="AE247" i="11"/>
  <c r="O395" i="11"/>
  <c r="N394" i="11"/>
  <c r="AA241" i="11"/>
  <c r="AB242" i="11"/>
  <c r="W217" i="11" l="1"/>
  <c r="V217" i="11"/>
  <c r="X217" i="11" s="1"/>
  <c r="AE248" i="11"/>
  <c r="O396" i="11"/>
  <c r="N395" i="11"/>
  <c r="AA242" i="11"/>
  <c r="AB243" i="11"/>
  <c r="O397" i="11" l="1"/>
  <c r="N396" i="11"/>
  <c r="AA243" i="11"/>
  <c r="AB244" i="11"/>
  <c r="AE249" i="11"/>
  <c r="Y217" i="11"/>
  <c r="U218" i="11" s="1"/>
  <c r="AE250" i="11" l="1"/>
  <c r="W218" i="11"/>
  <c r="V218" i="11"/>
  <c r="X218" i="11" s="1"/>
  <c r="AA244" i="11"/>
  <c r="AB245" i="11"/>
  <c r="O398" i="11"/>
  <c r="N397" i="11"/>
  <c r="O399" i="11" l="1"/>
  <c r="N398" i="11"/>
  <c r="AA245" i="11"/>
  <c r="AB246" i="11"/>
  <c r="Y218" i="11"/>
  <c r="U219" i="11" s="1"/>
  <c r="AE251" i="11"/>
  <c r="AE252" i="11" l="1"/>
  <c r="W219" i="11"/>
  <c r="V219" i="11"/>
  <c r="X219" i="11" s="1"/>
  <c r="Y219" i="11" s="1"/>
  <c r="U220" i="11" s="1"/>
  <c r="AA246" i="11"/>
  <c r="AB247" i="11"/>
  <c r="O400" i="11"/>
  <c r="N399" i="11"/>
  <c r="W220" i="11" l="1"/>
  <c r="V220" i="11"/>
  <c r="X220" i="11" s="1"/>
  <c r="Y220" i="11" s="1"/>
  <c r="U221" i="11" s="1"/>
  <c r="AA247" i="11"/>
  <c r="AB248" i="11"/>
  <c r="N400" i="11"/>
  <c r="O401" i="11"/>
  <c r="AE253" i="11"/>
  <c r="W221" i="11" l="1"/>
  <c r="V221" i="11"/>
  <c r="X221" i="11" s="1"/>
  <c r="Y221" i="11" s="1"/>
  <c r="U222" i="11" s="1"/>
  <c r="O402" i="11"/>
  <c r="N401" i="11"/>
  <c r="AE254" i="11"/>
  <c r="AA248" i="11"/>
  <c r="AB249" i="11"/>
  <c r="W222" i="11" l="1"/>
  <c r="V222" i="11"/>
  <c r="X222" i="11" s="1"/>
  <c r="Y222" i="11" s="1"/>
  <c r="U223" i="11" s="1"/>
  <c r="O403" i="11"/>
  <c r="N402" i="11"/>
  <c r="AE255" i="11"/>
  <c r="AA249" i="11"/>
  <c r="AB250" i="11"/>
  <c r="W223" i="11" l="1"/>
  <c r="V223" i="11"/>
  <c r="X223" i="11" s="1"/>
  <c r="Y223" i="11" s="1"/>
  <c r="U224" i="11" s="1"/>
  <c r="AE256" i="11"/>
  <c r="O404" i="11"/>
  <c r="N403" i="11"/>
  <c r="AA250" i="11"/>
  <c r="AB251" i="11"/>
  <c r="W224" i="11" l="1"/>
  <c r="V224" i="11"/>
  <c r="X224" i="11" s="1"/>
  <c r="Y224" i="11" s="1"/>
  <c r="U225" i="11" s="1"/>
  <c r="AE257" i="11"/>
  <c r="O405" i="11"/>
  <c r="N404" i="11"/>
  <c r="AA251" i="11"/>
  <c r="AB252" i="11"/>
  <c r="W225" i="11" l="1"/>
  <c r="V225" i="11"/>
  <c r="X225" i="11" s="1"/>
  <c r="Y225" i="11" s="1"/>
  <c r="U226" i="11" s="1"/>
  <c r="AE258" i="11"/>
  <c r="N405" i="11"/>
  <c r="O406" i="11"/>
  <c r="AA252" i="11"/>
  <c r="AB253" i="11"/>
  <c r="W226" i="11" l="1"/>
  <c r="V226" i="11"/>
  <c r="X226" i="11" s="1"/>
  <c r="Y226" i="11" s="1"/>
  <c r="U227" i="11" s="1"/>
  <c r="O407" i="11"/>
  <c r="N406" i="11"/>
  <c r="AE259" i="11"/>
  <c r="AA253" i="11"/>
  <c r="AB254" i="11"/>
  <c r="W227" i="11" l="1"/>
  <c r="V227" i="11"/>
  <c r="X227" i="11" s="1"/>
  <c r="Y227" i="11" s="1"/>
  <c r="U228" i="11" s="1"/>
  <c r="AE260" i="11"/>
  <c r="O408" i="11"/>
  <c r="N407" i="11"/>
  <c r="AA254" i="11"/>
  <c r="AB255" i="11"/>
  <c r="W228" i="11" l="1"/>
  <c r="V228" i="11"/>
  <c r="X228" i="11" s="1"/>
  <c r="Y228" i="11" s="1"/>
  <c r="U229" i="11" s="1"/>
  <c r="AE261" i="11"/>
  <c r="O409" i="11"/>
  <c r="N408" i="11"/>
  <c r="AA255" i="11"/>
  <c r="AB256" i="11"/>
  <c r="W229" i="11" l="1"/>
  <c r="V229" i="11"/>
  <c r="X229" i="11" s="1"/>
  <c r="AE262" i="11"/>
  <c r="O410" i="11"/>
  <c r="N409" i="11"/>
  <c r="AA256" i="11"/>
  <c r="AB257" i="11"/>
  <c r="O411" i="11" l="1"/>
  <c r="N410" i="11"/>
  <c r="AE263" i="11"/>
  <c r="AA257" i="11"/>
  <c r="AB258" i="11"/>
  <c r="Y229" i="11"/>
  <c r="U230" i="11" s="1"/>
  <c r="AE264" i="11" l="1"/>
  <c r="AA258" i="11"/>
  <c r="AB259" i="11"/>
  <c r="W230" i="11"/>
  <c r="V230" i="11"/>
  <c r="X230" i="11" s="1"/>
  <c r="O412" i="11"/>
  <c r="N411" i="11"/>
  <c r="AA259" i="11" l="1"/>
  <c r="AB260" i="11"/>
  <c r="AE265" i="11"/>
  <c r="O413" i="11"/>
  <c r="N412" i="11"/>
  <c r="Y230" i="11"/>
  <c r="U231" i="11" s="1"/>
  <c r="O414" i="11" l="1"/>
  <c r="N413" i="11"/>
  <c r="AE266" i="11"/>
  <c r="AA260" i="11"/>
  <c r="AB261" i="11"/>
  <c r="W231" i="11"/>
  <c r="V231" i="11"/>
  <c r="AA261" i="11" l="1"/>
  <c r="AB262" i="11"/>
  <c r="AE267" i="11"/>
  <c r="X231" i="11"/>
  <c r="Y231" i="11" s="1"/>
  <c r="U232" i="11" s="1"/>
  <c r="O415" i="11"/>
  <c r="N414" i="11"/>
  <c r="O416" i="11" l="1"/>
  <c r="N415" i="11"/>
  <c r="W232" i="11"/>
  <c r="V232" i="11"/>
  <c r="X232" i="11" s="1"/>
  <c r="Y232" i="11" s="1"/>
  <c r="U233" i="11" s="1"/>
  <c r="AE268" i="11"/>
  <c r="AA262" i="11"/>
  <c r="AB263" i="11"/>
  <c r="W233" i="11" l="1"/>
  <c r="V233" i="11"/>
  <c r="X233" i="11" s="1"/>
  <c r="Y233" i="11" s="1"/>
  <c r="U234" i="11" s="1"/>
  <c r="AE269" i="11"/>
  <c r="AA263" i="11"/>
  <c r="AB264" i="11"/>
  <c r="O417" i="11"/>
  <c r="N416" i="11"/>
  <c r="W234" i="11" l="1"/>
  <c r="V234" i="11"/>
  <c r="X234" i="11" s="1"/>
  <c r="Y234" i="11" s="1"/>
  <c r="U235" i="11" s="1"/>
  <c r="O418" i="11"/>
  <c r="N417" i="11"/>
  <c r="AA264" i="11"/>
  <c r="AB265" i="11"/>
  <c r="AE270" i="11"/>
  <c r="W235" i="11" l="1"/>
  <c r="V235" i="11"/>
  <c r="X235" i="11" s="1"/>
  <c r="Y235" i="11" s="1"/>
  <c r="U236" i="11" s="1"/>
  <c r="O419" i="11"/>
  <c r="N418" i="11"/>
  <c r="AA265" i="11"/>
  <c r="AB266" i="11"/>
  <c r="AE271" i="11"/>
  <c r="W236" i="11" l="1"/>
  <c r="V236" i="11"/>
  <c r="X236" i="11" s="1"/>
  <c r="Y236" i="11" s="1"/>
  <c r="U237" i="11" s="1"/>
  <c r="AA266" i="11"/>
  <c r="AB267" i="11"/>
  <c r="O420" i="11"/>
  <c r="N419" i="11"/>
  <c r="AE272" i="11"/>
  <c r="W237" i="11" l="1"/>
  <c r="V237" i="11"/>
  <c r="X237" i="11" s="1"/>
  <c r="Y237" i="11" s="1"/>
  <c r="U238" i="11" s="1"/>
  <c r="AA267" i="11"/>
  <c r="AB268" i="11"/>
  <c r="O421" i="11"/>
  <c r="N420" i="11"/>
  <c r="AE273" i="11"/>
  <c r="W238" i="11" l="1"/>
  <c r="V238" i="11"/>
  <c r="X238" i="11" s="1"/>
  <c r="Y238" i="11" s="1"/>
  <c r="U239" i="11" s="1"/>
  <c r="AA268" i="11"/>
  <c r="AB269" i="11"/>
  <c r="O422" i="11"/>
  <c r="N421" i="11"/>
  <c r="AE274" i="11"/>
  <c r="W239" i="11" l="1"/>
  <c r="V239" i="11"/>
  <c r="X239" i="11" s="1"/>
  <c r="Y239" i="11" s="1"/>
  <c r="U240" i="11" s="1"/>
  <c r="AA269" i="11"/>
  <c r="AB270" i="11"/>
  <c r="AE275" i="11"/>
  <c r="O423" i="11"/>
  <c r="N422" i="11"/>
  <c r="W240" i="11" l="1"/>
  <c r="V240" i="11"/>
  <c r="X240" i="11" s="1"/>
  <c r="Y240" i="11" s="1"/>
  <c r="U241" i="11" s="1"/>
  <c r="AE276" i="11"/>
  <c r="O424" i="11"/>
  <c r="N423" i="11"/>
  <c r="AA270" i="11"/>
  <c r="AB271" i="11"/>
  <c r="W241" i="11" l="1"/>
  <c r="V241" i="11"/>
  <c r="X241" i="11" s="1"/>
  <c r="AE277" i="11"/>
  <c r="O425" i="11"/>
  <c r="N424" i="11"/>
  <c r="AA271" i="11"/>
  <c r="AB272" i="11"/>
  <c r="AE278" i="11" l="1"/>
  <c r="O426" i="11"/>
  <c r="N425" i="11"/>
  <c r="AA272" i="11"/>
  <c r="AB273" i="11"/>
  <c r="Y241" i="11"/>
  <c r="U242" i="11" s="1"/>
  <c r="O427" i="11" l="1"/>
  <c r="N426" i="11"/>
  <c r="AA273" i="11"/>
  <c r="AB274" i="11"/>
  <c r="W242" i="11"/>
  <c r="V242" i="11"/>
  <c r="X242" i="11" s="1"/>
  <c r="AE279" i="11"/>
  <c r="Y242" i="11" l="1"/>
  <c r="U243" i="11" s="1"/>
  <c r="AA274" i="11"/>
  <c r="AB275" i="11"/>
  <c r="AE280" i="11"/>
  <c r="N427" i="11"/>
  <c r="O428" i="11"/>
  <c r="O429" i="11" l="1"/>
  <c r="N428" i="11"/>
  <c r="AE281" i="11"/>
  <c r="AA275" i="11"/>
  <c r="AB276" i="11"/>
  <c r="W243" i="11"/>
  <c r="V243" i="11"/>
  <c r="AE282" i="11" l="1"/>
  <c r="AA276" i="11"/>
  <c r="AB277" i="11"/>
  <c r="X243" i="11"/>
  <c r="Y243" i="11" s="1"/>
  <c r="U244" i="11" s="1"/>
  <c r="O430" i="11"/>
  <c r="N429" i="11"/>
  <c r="N430" i="11" l="1"/>
  <c r="O431" i="11"/>
  <c r="W244" i="11"/>
  <c r="V244" i="11"/>
  <c r="X244" i="11" s="1"/>
  <c r="Y244" i="11" s="1"/>
  <c r="U245" i="11" s="1"/>
  <c r="AA277" i="11"/>
  <c r="AB278" i="11"/>
  <c r="AE283" i="11"/>
  <c r="W245" i="11" l="1"/>
  <c r="V245" i="11"/>
  <c r="X245" i="11" s="1"/>
  <c r="Y245" i="11" s="1"/>
  <c r="U246" i="11" s="1"/>
  <c r="AA278" i="11"/>
  <c r="AB279" i="11"/>
  <c r="O432" i="11"/>
  <c r="N431" i="11"/>
  <c r="AE284" i="11"/>
  <c r="W246" i="11" l="1"/>
  <c r="V246" i="11"/>
  <c r="X246" i="11" s="1"/>
  <c r="Y246" i="11" s="1"/>
  <c r="U247" i="11" s="1"/>
  <c r="AE285" i="11"/>
  <c r="N432" i="11"/>
  <c r="O433" i="11"/>
  <c r="AA279" i="11"/>
  <c r="AB280" i="11"/>
  <c r="W247" i="11" l="1"/>
  <c r="V247" i="11"/>
  <c r="X247" i="11" s="1"/>
  <c r="Y247" i="11" s="1"/>
  <c r="U248" i="11" s="1"/>
  <c r="AE286" i="11"/>
  <c r="O434" i="11"/>
  <c r="N433" i="11"/>
  <c r="AA280" i="11"/>
  <c r="AB281" i="11"/>
  <c r="W248" i="11" l="1"/>
  <c r="V248" i="11"/>
  <c r="X248" i="11" s="1"/>
  <c r="Y248" i="11" s="1"/>
  <c r="U249" i="11" s="1"/>
  <c r="AE287" i="11"/>
  <c r="O435" i="11"/>
  <c r="N434" i="11"/>
  <c r="AA281" i="11"/>
  <c r="AB282" i="11"/>
  <c r="W249" i="11" l="1"/>
  <c r="V249" i="11"/>
  <c r="X249" i="11" s="1"/>
  <c r="Y249" i="11" s="1"/>
  <c r="U250" i="11" s="1"/>
  <c r="AE288" i="11"/>
  <c r="O436" i="11"/>
  <c r="N435" i="11"/>
  <c r="AA282" i="11"/>
  <c r="AB283" i="11"/>
  <c r="W250" i="11" l="1"/>
  <c r="V250" i="11"/>
  <c r="X250" i="11" s="1"/>
  <c r="Y250" i="11" s="1"/>
  <c r="U251" i="11" s="1"/>
  <c r="O437" i="11"/>
  <c r="N436" i="11"/>
  <c r="AE289" i="11"/>
  <c r="AA283" i="11"/>
  <c r="AB284" i="11"/>
  <c r="W251" i="11" l="1"/>
  <c r="V251" i="11"/>
  <c r="X251" i="11" s="1"/>
  <c r="Y251" i="11" s="1"/>
  <c r="U252" i="11" s="1"/>
  <c r="N437" i="11"/>
  <c r="O438" i="11"/>
  <c r="AE290" i="11"/>
  <c r="AA284" i="11"/>
  <c r="AB285" i="11"/>
  <c r="W252" i="11" l="1"/>
  <c r="V252" i="11"/>
  <c r="X252" i="11" s="1"/>
  <c r="Y252" i="11" s="1"/>
  <c r="U253" i="11" s="1"/>
  <c r="N438" i="11"/>
  <c r="O439" i="11"/>
  <c r="AE291" i="11"/>
  <c r="AA285" i="11"/>
  <c r="AB286" i="11"/>
  <c r="W253" i="11" l="1"/>
  <c r="V253" i="11"/>
  <c r="X253" i="11" s="1"/>
  <c r="N439" i="11"/>
  <c r="O440" i="11"/>
  <c r="AE292" i="11"/>
  <c r="AA286" i="11"/>
  <c r="AB287" i="11"/>
  <c r="AE293" i="11" l="1"/>
  <c r="O441" i="11"/>
  <c r="N440" i="11"/>
  <c r="AA287" i="11"/>
  <c r="AB288" i="11"/>
  <c r="Y253" i="11"/>
  <c r="U254" i="11" s="1"/>
  <c r="AA288" i="11" l="1"/>
  <c r="AB289" i="11"/>
  <c r="N441" i="11"/>
  <c r="O442" i="11"/>
  <c r="AE294" i="11"/>
  <c r="W254" i="11"/>
  <c r="V254" i="11"/>
  <c r="AE295" i="11" l="1"/>
  <c r="O443" i="11"/>
  <c r="N442" i="11"/>
  <c r="AA289" i="11"/>
  <c r="AB290" i="11"/>
  <c r="X254" i="11"/>
  <c r="Y254" i="11" l="1"/>
  <c r="U255" i="11" s="1"/>
  <c r="AA290" i="11"/>
  <c r="AB291" i="11"/>
  <c r="N443" i="11"/>
  <c r="O444" i="11"/>
  <c r="AE296" i="11"/>
  <c r="O445" i="11" l="1"/>
  <c r="N444" i="11"/>
  <c r="AE297" i="11"/>
  <c r="AA291" i="11"/>
  <c r="AB292" i="11"/>
  <c r="W255" i="11"/>
  <c r="V255" i="11"/>
  <c r="AA292" i="11" l="1"/>
  <c r="AB293" i="11"/>
  <c r="AE298" i="11"/>
  <c r="X255" i="11"/>
  <c r="O446" i="11"/>
  <c r="N445" i="11"/>
  <c r="N446" i="11" l="1"/>
  <c r="O447" i="11"/>
  <c r="Y255" i="11"/>
  <c r="U256" i="11" s="1"/>
  <c r="AE299" i="11"/>
  <c r="AA293" i="11"/>
  <c r="AB294" i="11"/>
  <c r="AA294" i="11" l="1"/>
  <c r="AB295" i="11"/>
  <c r="AE300" i="11"/>
  <c r="W256" i="11"/>
  <c r="V256" i="11"/>
  <c r="X256" i="11" s="1"/>
  <c r="Y256" i="11" s="1"/>
  <c r="U257" i="11" s="1"/>
  <c r="O448" i="11"/>
  <c r="N447" i="11"/>
  <c r="W257" i="11" l="1"/>
  <c r="V257" i="11"/>
  <c r="O449" i="11"/>
  <c r="N448" i="11"/>
  <c r="AE301" i="11"/>
  <c r="AA295" i="11"/>
  <c r="AB296" i="11"/>
  <c r="X257" i="11" l="1"/>
  <c r="Y257" i="11" s="1"/>
  <c r="U258" i="11" s="1"/>
  <c r="W258" i="11"/>
  <c r="V258" i="11"/>
  <c r="X258" i="11" s="1"/>
  <c r="Y258" i="11" s="1"/>
  <c r="U259" i="11" s="1"/>
  <c r="AE302" i="11"/>
  <c r="N449" i="11"/>
  <c r="O450" i="11"/>
  <c r="AA296" i="11"/>
  <c r="AB297" i="11"/>
  <c r="W259" i="11" l="1"/>
  <c r="V259" i="11"/>
  <c r="X259" i="11" s="1"/>
  <c r="Y259" i="11" s="1"/>
  <c r="U260" i="11" s="1"/>
  <c r="AE303" i="11"/>
  <c r="O451" i="11"/>
  <c r="N450" i="11"/>
  <c r="AA297" i="11"/>
  <c r="AB298" i="11"/>
  <c r="W260" i="11" l="1"/>
  <c r="V260" i="11"/>
  <c r="X260" i="11" s="1"/>
  <c r="Y260" i="11" s="1"/>
  <c r="U261" i="11" s="1"/>
  <c r="O452" i="11"/>
  <c r="N451" i="11"/>
  <c r="AE304" i="11"/>
  <c r="AA298" i="11"/>
  <c r="AB299" i="11"/>
  <c r="W261" i="11" l="1"/>
  <c r="V261" i="11"/>
  <c r="X261" i="11" s="1"/>
  <c r="Y261" i="11" s="1"/>
  <c r="U262" i="11" s="1"/>
  <c r="AE305" i="11"/>
  <c r="N452" i="11"/>
  <c r="O453" i="11"/>
  <c r="AA299" i="11"/>
  <c r="AB300" i="11"/>
  <c r="W262" i="11" l="1"/>
  <c r="V262" i="11"/>
  <c r="O454" i="11"/>
  <c r="N453" i="11"/>
  <c r="AE306" i="11"/>
  <c r="AA300" i="11"/>
  <c r="AB301" i="11"/>
  <c r="AE307" i="11" l="1"/>
  <c r="N454" i="11"/>
  <c r="O455" i="11"/>
  <c r="X262" i="11"/>
  <c r="Y262" i="11" s="1"/>
  <c r="U263" i="11" s="1"/>
  <c r="AA301" i="11"/>
  <c r="AB302" i="11"/>
  <c r="W263" i="11" l="1"/>
  <c r="V263" i="11"/>
  <c r="X263" i="11" s="1"/>
  <c r="Y263" i="11" s="1"/>
  <c r="U264" i="11" s="1"/>
  <c r="AA302" i="11"/>
  <c r="AB303" i="11"/>
  <c r="N455" i="11"/>
  <c r="O456" i="11"/>
  <c r="AE308" i="11"/>
  <c r="W264" i="11" l="1"/>
  <c r="V264" i="11"/>
  <c r="X264" i="11" s="1"/>
  <c r="Y264" i="11" s="1"/>
  <c r="U265" i="11" s="1"/>
  <c r="AA303" i="11"/>
  <c r="AB304" i="11"/>
  <c r="AE309" i="11"/>
  <c r="N456" i="11"/>
  <c r="O457" i="11"/>
  <c r="W265" i="11" l="1"/>
  <c r="V265" i="11"/>
  <c r="X265" i="11" s="1"/>
  <c r="AE310" i="11"/>
  <c r="AA304" i="11"/>
  <c r="AB305" i="11"/>
  <c r="O458" i="11"/>
  <c r="N457" i="11"/>
  <c r="N458" i="11" l="1"/>
  <c r="O459" i="11"/>
  <c r="AA305" i="11"/>
  <c r="AB306" i="11"/>
  <c r="AE311" i="11"/>
  <c r="Y265" i="11"/>
  <c r="U266" i="11" s="1"/>
  <c r="AA306" i="11" l="1"/>
  <c r="AB307" i="11"/>
  <c r="N459" i="11"/>
  <c r="O460" i="11"/>
  <c r="AE312" i="11"/>
  <c r="W266" i="11"/>
  <c r="V266" i="11"/>
  <c r="AE313" i="11" l="1"/>
  <c r="AA307" i="11"/>
  <c r="AB308" i="11"/>
  <c r="O461" i="11"/>
  <c r="N460" i="11"/>
  <c r="X266" i="11"/>
  <c r="AA308" i="11" l="1"/>
  <c r="AB309" i="11"/>
  <c r="O462" i="11"/>
  <c r="N461" i="11"/>
  <c r="Y266" i="11"/>
  <c r="U267" i="11" s="1"/>
  <c r="AE314" i="11"/>
  <c r="AE315" i="11" l="1"/>
  <c r="W267" i="11"/>
  <c r="V267" i="11"/>
  <c r="X267" i="11" s="1"/>
  <c r="N462" i="11"/>
  <c r="O463" i="11"/>
  <c r="AA309" i="11"/>
  <c r="AB310" i="11"/>
  <c r="O464" i="11" l="1"/>
  <c r="N463" i="11"/>
  <c r="Y267" i="11"/>
  <c r="U268" i="11" s="1"/>
  <c r="AA310" i="11"/>
  <c r="AB311" i="11"/>
  <c r="AE316" i="11"/>
  <c r="AE317" i="11" l="1"/>
  <c r="AA311" i="11"/>
  <c r="AB312" i="11"/>
  <c r="W268" i="11"/>
  <c r="V268" i="11"/>
  <c r="O465" i="11"/>
  <c r="N464" i="11"/>
  <c r="X268" i="11" l="1"/>
  <c r="Y268" i="11" s="1"/>
  <c r="U269" i="11" s="1"/>
  <c r="N465" i="11"/>
  <c r="O466" i="11"/>
  <c r="AA312" i="11"/>
  <c r="AB313" i="11"/>
  <c r="AE318" i="11"/>
  <c r="AE319" i="11" l="1"/>
  <c r="AA313" i="11"/>
  <c r="AB314" i="11"/>
  <c r="O467" i="11"/>
  <c r="N466" i="11"/>
  <c r="W269" i="11"/>
  <c r="V269" i="11"/>
  <c r="AA314" i="11" l="1"/>
  <c r="AB315" i="11"/>
  <c r="O468" i="11"/>
  <c r="N467" i="11"/>
  <c r="X269" i="11"/>
  <c r="Y269" i="11" s="1"/>
  <c r="U270" i="11" s="1"/>
  <c r="AE320" i="11"/>
  <c r="W270" i="11" l="1"/>
  <c r="V270" i="11"/>
  <c r="AE321" i="11"/>
  <c r="N468" i="11"/>
  <c r="O469" i="11"/>
  <c r="AA315" i="11"/>
  <c r="AB316" i="11"/>
  <c r="X270" i="11" l="1"/>
  <c r="Y270" i="11" s="1"/>
  <c r="U271" i="11" s="1"/>
  <c r="W271" i="11"/>
  <c r="V271" i="11"/>
  <c r="X271" i="11" s="1"/>
  <c r="Y271" i="11" s="1"/>
  <c r="U272" i="11" s="1"/>
  <c r="AE322" i="11"/>
  <c r="O470" i="11"/>
  <c r="N469" i="11"/>
  <c r="AA316" i="11"/>
  <c r="AB317" i="11"/>
  <c r="W272" i="11" l="1"/>
  <c r="V272" i="11"/>
  <c r="X272" i="11" s="1"/>
  <c r="Y272" i="11" s="1"/>
  <c r="U273" i="11" s="1"/>
  <c r="N470" i="11"/>
  <c r="O471" i="11"/>
  <c r="AE323" i="11"/>
  <c r="AA317" i="11"/>
  <c r="AB318" i="11"/>
  <c r="W273" i="11" l="1"/>
  <c r="V273" i="11"/>
  <c r="X273" i="11" s="1"/>
  <c r="Y273" i="11" s="1"/>
  <c r="U274" i="11" s="1"/>
  <c r="O472" i="11"/>
  <c r="N471" i="11"/>
  <c r="AE324" i="11"/>
  <c r="AA318" i="11"/>
  <c r="AB319" i="11"/>
  <c r="W274" i="11" l="1"/>
  <c r="V274" i="11"/>
  <c r="X274" i="11" s="1"/>
  <c r="Y274" i="11" s="1"/>
  <c r="U275" i="11" s="1"/>
  <c r="AE325" i="11"/>
  <c r="O473" i="11"/>
  <c r="N472" i="11"/>
  <c r="AA319" i="11"/>
  <c r="AB320" i="11"/>
  <c r="W275" i="11" l="1"/>
  <c r="V275" i="11"/>
  <c r="X275" i="11" s="1"/>
  <c r="Y275" i="11" s="1"/>
  <c r="U276" i="11" s="1"/>
  <c r="N473" i="11"/>
  <c r="O474" i="11"/>
  <c r="AE326" i="11"/>
  <c r="AA320" i="11"/>
  <c r="AB321" i="11"/>
  <c r="W276" i="11" l="1"/>
  <c r="V276" i="11"/>
  <c r="X276" i="11" s="1"/>
  <c r="Y276" i="11" s="1"/>
  <c r="U277" i="11" s="1"/>
  <c r="O475" i="11"/>
  <c r="N474" i="11"/>
  <c r="AE327" i="11"/>
  <c r="AA321" i="11"/>
  <c r="AB322" i="11"/>
  <c r="W277" i="11" l="1"/>
  <c r="V277" i="11"/>
  <c r="X277" i="11" s="1"/>
  <c r="AE328" i="11"/>
  <c r="N475" i="11"/>
  <c r="O476" i="11"/>
  <c r="AA322" i="11"/>
  <c r="AB323" i="11"/>
  <c r="O477" i="11" l="1"/>
  <c r="N476" i="11"/>
  <c r="AE329" i="11"/>
  <c r="AA323" i="11"/>
  <c r="AB324" i="11"/>
  <c r="Y277" i="11"/>
  <c r="U278" i="11" s="1"/>
  <c r="AA324" i="11" l="1"/>
  <c r="AB325" i="11"/>
  <c r="AE330" i="11"/>
  <c r="W278" i="11"/>
  <c r="V278" i="11"/>
  <c r="X278" i="11" s="1"/>
  <c r="Y278" i="11" s="1"/>
  <c r="U279" i="11" s="1"/>
  <c r="O478" i="11"/>
  <c r="N477" i="11"/>
  <c r="W279" i="11" l="1"/>
  <c r="V279" i="11"/>
  <c r="X279" i="11" s="1"/>
  <c r="Y279" i="11" s="1"/>
  <c r="U280" i="11" s="1"/>
  <c r="O479" i="11"/>
  <c r="N478" i="11"/>
  <c r="AE331" i="11"/>
  <c r="AA325" i="11"/>
  <c r="AB326" i="11"/>
  <c r="W280" i="11" l="1"/>
  <c r="V280" i="11"/>
  <c r="X280" i="11" s="1"/>
  <c r="Y280" i="11" s="1"/>
  <c r="U281" i="11" s="1"/>
  <c r="AE332" i="11"/>
  <c r="AA326" i="11"/>
  <c r="AB327" i="11"/>
  <c r="N479" i="11"/>
  <c r="O480" i="11"/>
  <c r="W281" i="11" l="1"/>
  <c r="V281" i="11"/>
  <c r="X281" i="11" s="1"/>
  <c r="Y281" i="11" s="1"/>
  <c r="U282" i="11" s="1"/>
  <c r="AA327" i="11"/>
  <c r="AB328" i="11"/>
  <c r="AE333" i="11"/>
  <c r="N480" i="11"/>
  <c r="O481" i="11"/>
  <c r="W282" i="11" l="1"/>
  <c r="V282" i="11"/>
  <c r="X282" i="11" s="1"/>
  <c r="Y282" i="11" s="1"/>
  <c r="U283" i="11" s="1"/>
  <c r="AE334" i="11"/>
  <c r="AA328" i="11"/>
  <c r="AB329" i="11"/>
  <c r="O482" i="11"/>
  <c r="N481" i="11"/>
  <c r="W283" i="11" l="1"/>
  <c r="V283" i="11"/>
  <c r="X283" i="11" s="1"/>
  <c r="Y283" i="11" s="1"/>
  <c r="U284" i="11" s="1"/>
  <c r="O483" i="11"/>
  <c r="N482" i="11"/>
  <c r="AA329" i="11"/>
  <c r="AB330" i="11"/>
  <c r="AE335" i="11"/>
  <c r="W284" i="11" l="1"/>
  <c r="V284" i="11"/>
  <c r="X284" i="11" s="1"/>
  <c r="Y284" i="11" s="1"/>
  <c r="U285" i="11" s="1"/>
  <c r="AA330" i="11"/>
  <c r="AB331" i="11"/>
  <c r="N483" i="11"/>
  <c r="O484" i="11"/>
  <c r="AE336" i="11"/>
  <c r="W285" i="11" l="1"/>
  <c r="V285" i="11"/>
  <c r="X285" i="11" s="1"/>
  <c r="Y285" i="11" s="1"/>
  <c r="U286" i="11" s="1"/>
  <c r="O485" i="11"/>
  <c r="N484" i="11"/>
  <c r="AE337" i="11"/>
  <c r="AA331" i="11"/>
  <c r="AB332" i="11"/>
  <c r="W286" i="11" l="1"/>
  <c r="V286" i="11"/>
  <c r="X286" i="11" s="1"/>
  <c r="Y286" i="11" s="1"/>
  <c r="U287" i="11" s="1"/>
  <c r="AE338" i="11"/>
  <c r="N485" i="11"/>
  <c r="O486" i="11"/>
  <c r="AA332" i="11"/>
  <c r="AB333" i="11"/>
  <c r="W287" i="11" l="1"/>
  <c r="V287" i="11"/>
  <c r="X287" i="11" s="1"/>
  <c r="Y287" i="11" s="1"/>
  <c r="U288" i="11" s="1"/>
  <c r="O487" i="11"/>
  <c r="N486" i="11"/>
  <c r="AE339" i="11"/>
  <c r="AA333" i="11"/>
  <c r="AB334" i="11"/>
  <c r="W288" i="11" l="1"/>
  <c r="V288" i="11"/>
  <c r="X288" i="11" s="1"/>
  <c r="Y288" i="11" s="1"/>
  <c r="U289" i="11" s="1"/>
  <c r="AE340" i="11"/>
  <c r="N487" i="11"/>
  <c r="O488" i="11"/>
  <c r="AA334" i="11"/>
  <c r="AB335" i="11"/>
  <c r="W289" i="11" l="1"/>
  <c r="V289" i="11"/>
  <c r="O489" i="11"/>
  <c r="N488" i="11"/>
  <c r="AE341" i="11"/>
  <c r="AA335" i="11"/>
  <c r="AB336" i="11"/>
  <c r="AA336" i="11" l="1"/>
  <c r="AB337" i="11"/>
  <c r="O490" i="11"/>
  <c r="N489" i="11"/>
  <c r="AE342" i="11"/>
  <c r="X289" i="11"/>
  <c r="Y289" i="11" l="1"/>
  <c r="U290" i="11" s="1"/>
  <c r="AE343" i="11"/>
  <c r="N490" i="11"/>
  <c r="O491" i="11"/>
  <c r="AA337" i="11"/>
  <c r="AB338" i="11"/>
  <c r="AA338" i="11" l="1"/>
  <c r="AB339" i="11"/>
  <c r="O492" i="11"/>
  <c r="N491" i="11"/>
  <c r="AE344" i="11"/>
  <c r="W290" i="11"/>
  <c r="V290" i="11"/>
  <c r="AE345" i="11" l="1"/>
  <c r="AA339" i="11"/>
  <c r="AB340" i="11"/>
  <c r="O493" i="11"/>
  <c r="N492" i="11"/>
  <c r="X290" i="11"/>
  <c r="AA340" i="11" l="1"/>
  <c r="AB341" i="11"/>
  <c r="Y290" i="11"/>
  <c r="U291" i="11" s="1"/>
  <c r="N493" i="11"/>
  <c r="O494" i="11"/>
  <c r="AE346" i="11"/>
  <c r="AE347" i="11" l="1"/>
  <c r="O495" i="11"/>
  <c r="N494" i="11"/>
  <c r="W291" i="11"/>
  <c r="V291" i="11"/>
  <c r="X291" i="11" s="1"/>
  <c r="AA341" i="11"/>
  <c r="AB342" i="11"/>
  <c r="N495" i="11" l="1"/>
  <c r="O496" i="11"/>
  <c r="AE348" i="11"/>
  <c r="Y291" i="11"/>
  <c r="U292" i="11" s="1"/>
  <c r="AA342" i="11"/>
  <c r="AB343" i="11"/>
  <c r="W292" i="11" l="1"/>
  <c r="V292" i="11"/>
  <c r="X292" i="11" s="1"/>
  <c r="Y292" i="11" s="1"/>
  <c r="U293" i="11" s="1"/>
  <c r="AE349" i="11"/>
  <c r="AA343" i="11"/>
  <c r="AB344" i="11"/>
  <c r="N496" i="11"/>
  <c r="O497" i="11"/>
  <c r="N497" i="11" s="1"/>
  <c r="W293" i="11" l="1"/>
  <c r="V293" i="11"/>
  <c r="X293" i="11" s="1"/>
  <c r="Y293" i="11" s="1"/>
  <c r="U294" i="11" s="1"/>
  <c r="AA344" i="11"/>
  <c r="AB345" i="11"/>
  <c r="AE350" i="11"/>
  <c r="W294" i="11" l="1"/>
  <c r="V294" i="11"/>
  <c r="X294" i="11" s="1"/>
  <c r="Y294" i="11" s="1"/>
  <c r="U295" i="11" s="1"/>
  <c r="AE351" i="11"/>
  <c r="AA345" i="11"/>
  <c r="AB346" i="11"/>
  <c r="W295" i="11" l="1"/>
  <c r="V295" i="11"/>
  <c r="X295" i="11" s="1"/>
  <c r="Y295" i="11" s="1"/>
  <c r="U296" i="11" s="1"/>
  <c r="AA346" i="11"/>
  <c r="AB347" i="11"/>
  <c r="AE352" i="11"/>
  <c r="W296" i="11" l="1"/>
  <c r="V296" i="11"/>
  <c r="X296" i="11" s="1"/>
  <c r="Y296" i="11" s="1"/>
  <c r="U297" i="11" s="1"/>
  <c r="AE353" i="11"/>
  <c r="AA347" i="11"/>
  <c r="AB348" i="11"/>
  <c r="W297" i="11" l="1"/>
  <c r="V297" i="11"/>
  <c r="X297" i="11" s="1"/>
  <c r="Y297" i="11" s="1"/>
  <c r="U298" i="11" s="1"/>
  <c r="AA348" i="11"/>
  <c r="AB349" i="11"/>
  <c r="AE354" i="11"/>
  <c r="W298" i="11" l="1"/>
  <c r="V298" i="11"/>
  <c r="X298" i="11" s="1"/>
  <c r="Y298" i="11" s="1"/>
  <c r="U299" i="11" s="1"/>
  <c r="AE355" i="11"/>
  <c r="AA349" i="11"/>
  <c r="AB350" i="11"/>
  <c r="W299" i="11" l="1"/>
  <c r="V299" i="11"/>
  <c r="X299" i="11" s="1"/>
  <c r="Y299" i="11" s="1"/>
  <c r="U300" i="11" s="1"/>
  <c r="AA350" i="11"/>
  <c r="AB351" i="11"/>
  <c r="AE356" i="11"/>
  <c r="W300" i="11" l="1"/>
  <c r="V300" i="11"/>
  <c r="X300" i="11" s="1"/>
  <c r="Y300" i="11" s="1"/>
  <c r="U301" i="11" s="1"/>
  <c r="AE357" i="11"/>
  <c r="AA351" i="11"/>
  <c r="AB352" i="11"/>
  <c r="W301" i="11" l="1"/>
  <c r="V301" i="11"/>
  <c r="X301" i="11" s="1"/>
  <c r="Y301" i="11" s="1"/>
  <c r="U302" i="11" s="1"/>
  <c r="AA352" i="11"/>
  <c r="AB353" i="11"/>
  <c r="AE358" i="11"/>
  <c r="W302" i="11" l="1"/>
  <c r="V302" i="11"/>
  <c r="X302" i="11" s="1"/>
  <c r="Y302" i="11" s="1"/>
  <c r="U303" i="11" s="1"/>
  <c r="AE359" i="11"/>
  <c r="AA353" i="11"/>
  <c r="AB354" i="11"/>
  <c r="W303" i="11" l="1"/>
  <c r="V303" i="11"/>
  <c r="X303" i="11" s="1"/>
  <c r="Y303" i="11" s="1"/>
  <c r="U304" i="11" s="1"/>
  <c r="AA354" i="11"/>
  <c r="AB355" i="11"/>
  <c r="AE360" i="11"/>
  <c r="W304" i="11" l="1"/>
  <c r="V304" i="11"/>
  <c r="X304" i="11" s="1"/>
  <c r="Y304" i="11" s="1"/>
  <c r="U305" i="11" s="1"/>
  <c r="AA355" i="11"/>
  <c r="AB356" i="11"/>
  <c r="AE361" i="11"/>
  <c r="W305" i="11" l="1"/>
  <c r="V305" i="11"/>
  <c r="X305" i="11" s="1"/>
  <c r="Y305" i="11" s="1"/>
  <c r="U306" i="11" s="1"/>
  <c r="AE362" i="11"/>
  <c r="AA356" i="11"/>
  <c r="AB357" i="11"/>
  <c r="W306" i="11" l="1"/>
  <c r="V306" i="11"/>
  <c r="X306" i="11" s="1"/>
  <c r="Y306" i="11" s="1"/>
  <c r="U307" i="11" s="1"/>
  <c r="AA357" i="11"/>
  <c r="AB358" i="11"/>
  <c r="AE363" i="11"/>
  <c r="W307" i="11" l="1"/>
  <c r="V307" i="11"/>
  <c r="X307" i="11" s="1"/>
  <c r="Y307" i="11" s="1"/>
  <c r="U308" i="11" s="1"/>
  <c r="AE364" i="11"/>
  <c r="AA358" i="11"/>
  <c r="AB359" i="11"/>
  <c r="W308" i="11" l="1"/>
  <c r="V308" i="11"/>
  <c r="X308" i="11" s="1"/>
  <c r="Y308" i="11" s="1"/>
  <c r="U309" i="11" s="1"/>
  <c r="AE365" i="11"/>
  <c r="AA359" i="11"/>
  <c r="AB360" i="11"/>
  <c r="W309" i="11" l="1"/>
  <c r="V309" i="11"/>
  <c r="X309" i="11" s="1"/>
  <c r="Y309" i="11" s="1"/>
  <c r="U310" i="11" s="1"/>
  <c r="AE366" i="11"/>
  <c r="AA360" i="11"/>
  <c r="AB361" i="11"/>
  <c r="W310" i="11" l="1"/>
  <c r="V310" i="11"/>
  <c r="X310" i="11" s="1"/>
  <c r="Y310" i="11" s="1"/>
  <c r="U311" i="11" s="1"/>
  <c r="AA361" i="11"/>
  <c r="AB362" i="11"/>
  <c r="AE367" i="11"/>
  <c r="W311" i="11" l="1"/>
  <c r="V311" i="11"/>
  <c r="X311" i="11" s="1"/>
  <c r="Y311" i="11" s="1"/>
  <c r="U312" i="11" s="1"/>
  <c r="AE368" i="11"/>
  <c r="AA362" i="11"/>
  <c r="AB363" i="11"/>
  <c r="W312" i="11" l="1"/>
  <c r="V312" i="11"/>
  <c r="X312" i="11" s="1"/>
  <c r="Y312" i="11" s="1"/>
  <c r="U313" i="11" s="1"/>
  <c r="AA363" i="11"/>
  <c r="AB364" i="11"/>
  <c r="AE369" i="11"/>
  <c r="W313" i="11" l="1"/>
  <c r="V313" i="11"/>
  <c r="X313" i="11" s="1"/>
  <c r="Y313" i="11" s="1"/>
  <c r="U314" i="11" s="1"/>
  <c r="AE370" i="11"/>
  <c r="AA364" i="11"/>
  <c r="AB365" i="11"/>
  <c r="W314" i="11" l="1"/>
  <c r="V314" i="11"/>
  <c r="X314" i="11" s="1"/>
  <c r="Y314" i="11" s="1"/>
  <c r="U315" i="11" s="1"/>
  <c r="AE371" i="11"/>
  <c r="AA365" i="11"/>
  <c r="AB366" i="11"/>
  <c r="W315" i="11" l="1"/>
  <c r="V315" i="11"/>
  <c r="X315" i="11" s="1"/>
  <c r="Y315" i="11" s="1"/>
  <c r="U316" i="11" s="1"/>
  <c r="AA366" i="11"/>
  <c r="AB367" i="11"/>
  <c r="AE372" i="11"/>
  <c r="W316" i="11" l="1"/>
  <c r="V316" i="11"/>
  <c r="X316" i="11" s="1"/>
  <c r="Y316" i="11" s="1"/>
  <c r="U317" i="11" s="1"/>
  <c r="AE373" i="11"/>
  <c r="AA367" i="11"/>
  <c r="AB368" i="11"/>
  <c r="W317" i="11" l="1"/>
  <c r="V317" i="11"/>
  <c r="X317" i="11" s="1"/>
  <c r="Y317" i="11" s="1"/>
  <c r="U318" i="11" s="1"/>
  <c r="AA368" i="11"/>
  <c r="AB369" i="11"/>
  <c r="AE374" i="11"/>
  <c r="W318" i="11" l="1"/>
  <c r="V318" i="11"/>
  <c r="X318" i="11" s="1"/>
  <c r="Y318" i="11" s="1"/>
  <c r="U319" i="11" s="1"/>
  <c r="AE375" i="11"/>
  <c r="AA369" i="11"/>
  <c r="AB370" i="11"/>
  <c r="W319" i="11" l="1"/>
  <c r="V319" i="11"/>
  <c r="X319" i="11" s="1"/>
  <c r="Y319" i="11" s="1"/>
  <c r="U320" i="11" s="1"/>
  <c r="AE376" i="11"/>
  <c r="AA370" i="11"/>
  <c r="AB371" i="11"/>
  <c r="W320" i="11" l="1"/>
  <c r="V320" i="11"/>
  <c r="X320" i="11" s="1"/>
  <c r="Y320" i="11" s="1"/>
  <c r="U321" i="11" s="1"/>
  <c r="AE377" i="11"/>
  <c r="AA371" i="11"/>
  <c r="AB372" i="11"/>
  <c r="W321" i="11" l="1"/>
  <c r="V321" i="11"/>
  <c r="X321" i="11" s="1"/>
  <c r="Y321" i="11" s="1"/>
  <c r="U322" i="11" s="1"/>
  <c r="AA372" i="11"/>
  <c r="AB373" i="11"/>
  <c r="AE378" i="11"/>
  <c r="W322" i="11" l="1"/>
  <c r="V322" i="11"/>
  <c r="X322" i="11" s="1"/>
  <c r="Y322" i="11" s="1"/>
  <c r="U323" i="11" s="1"/>
  <c r="AE379" i="11"/>
  <c r="AA373" i="11"/>
  <c r="AB374" i="11"/>
  <c r="W323" i="11" l="1"/>
  <c r="V323" i="11"/>
  <c r="X323" i="11" s="1"/>
  <c r="Y323" i="11" s="1"/>
  <c r="U324" i="11" s="1"/>
  <c r="AA374" i="11"/>
  <c r="AB375" i="11"/>
  <c r="AE380" i="11"/>
  <c r="W324" i="11" l="1"/>
  <c r="V324" i="11"/>
  <c r="X324" i="11" s="1"/>
  <c r="Y324" i="11" s="1"/>
  <c r="U325" i="11" s="1"/>
  <c r="AE381" i="11"/>
  <c r="AA375" i="11"/>
  <c r="AB376" i="11"/>
  <c r="W325" i="11" l="1"/>
  <c r="V325" i="11"/>
  <c r="X325" i="11" s="1"/>
  <c r="Y325" i="11" s="1"/>
  <c r="U326" i="11" s="1"/>
  <c r="AE382" i="11"/>
  <c r="AA376" i="11"/>
  <c r="AB377" i="11"/>
  <c r="W326" i="11" l="1"/>
  <c r="V326" i="11"/>
  <c r="X326" i="11" s="1"/>
  <c r="Y326" i="11" s="1"/>
  <c r="U327" i="11" s="1"/>
  <c r="AA377" i="11"/>
  <c r="AB378" i="11"/>
  <c r="AE383" i="11"/>
  <c r="W327" i="11" l="1"/>
  <c r="V327" i="11"/>
  <c r="X327" i="11" s="1"/>
  <c r="Y327" i="11" s="1"/>
  <c r="U328" i="11" s="1"/>
  <c r="AA378" i="11"/>
  <c r="AB379" i="11"/>
  <c r="AE384" i="11"/>
  <c r="W328" i="11" l="1"/>
  <c r="V328" i="11"/>
  <c r="X328" i="11" s="1"/>
  <c r="Y328" i="11" s="1"/>
  <c r="U329" i="11" s="1"/>
  <c r="AA379" i="11"/>
  <c r="AB380" i="11"/>
  <c r="AE385" i="11"/>
  <c r="W329" i="11" l="1"/>
  <c r="V329" i="11"/>
  <c r="X329" i="11" s="1"/>
  <c r="Y329" i="11" s="1"/>
  <c r="U330" i="11" s="1"/>
  <c r="AE386" i="11"/>
  <c r="AA380" i="11"/>
  <c r="AB381" i="11"/>
  <c r="W330" i="11" l="1"/>
  <c r="V330" i="11"/>
  <c r="X330" i="11" s="1"/>
  <c r="Y330" i="11" s="1"/>
  <c r="U331" i="11" s="1"/>
  <c r="AA381" i="11"/>
  <c r="AB382" i="11"/>
  <c r="AE387" i="11"/>
  <c r="W331" i="11" l="1"/>
  <c r="V331" i="11"/>
  <c r="X331" i="11" s="1"/>
  <c r="Y331" i="11" s="1"/>
  <c r="U332" i="11" s="1"/>
  <c r="AA382" i="11"/>
  <c r="AB383" i="11"/>
  <c r="AE388" i="11"/>
  <c r="W332" i="11" l="1"/>
  <c r="V332" i="11"/>
  <c r="X332" i="11" s="1"/>
  <c r="Y332" i="11" s="1"/>
  <c r="U333" i="11" s="1"/>
  <c r="AA383" i="11"/>
  <c r="AB384" i="11"/>
  <c r="AE389" i="11"/>
  <c r="W333" i="11" l="1"/>
  <c r="V333" i="11"/>
  <c r="AA384" i="11"/>
  <c r="AB385" i="11"/>
  <c r="AE390" i="11"/>
  <c r="X333" i="11" l="1"/>
  <c r="Y333" i="11" s="1"/>
  <c r="U334" i="11" s="1"/>
  <c r="W334" i="11"/>
  <c r="V334" i="11"/>
  <c r="X334" i="11" s="1"/>
  <c r="Y334" i="11" s="1"/>
  <c r="U335" i="11" s="1"/>
  <c r="AE391" i="11"/>
  <c r="AA385" i="11"/>
  <c r="AB386" i="11"/>
  <c r="W335" i="11" l="1"/>
  <c r="V335" i="11"/>
  <c r="X335" i="11" s="1"/>
  <c r="Y335" i="11" s="1"/>
  <c r="U336" i="11" s="1"/>
  <c r="AE392" i="11"/>
  <c r="AA386" i="11"/>
  <c r="AB387" i="11"/>
  <c r="W336" i="11" l="1"/>
  <c r="V336" i="11"/>
  <c r="X336" i="11" s="1"/>
  <c r="Y336" i="11" s="1"/>
  <c r="U337" i="11" s="1"/>
  <c r="AA387" i="11"/>
  <c r="AB388" i="11"/>
  <c r="AE393" i="11"/>
  <c r="W337" i="11" l="1"/>
  <c r="V337" i="11"/>
  <c r="X337" i="11" s="1"/>
  <c r="Y337" i="11" s="1"/>
  <c r="U338" i="11" s="1"/>
  <c r="AA388" i="11"/>
  <c r="AB389" i="11"/>
  <c r="AE394" i="11"/>
  <c r="W338" i="11" l="1"/>
  <c r="V338" i="11"/>
  <c r="X338" i="11" s="1"/>
  <c r="Y338" i="11" s="1"/>
  <c r="U339" i="11" s="1"/>
  <c r="AE395" i="11"/>
  <c r="AA389" i="11"/>
  <c r="AB390" i="11"/>
  <c r="W339" i="11" l="1"/>
  <c r="V339" i="11"/>
  <c r="X339" i="11" s="1"/>
  <c r="Y339" i="11" s="1"/>
  <c r="U340" i="11" s="1"/>
  <c r="AA390" i="11"/>
  <c r="AB391" i="11"/>
  <c r="AE396" i="11"/>
  <c r="W340" i="11" l="1"/>
  <c r="V340" i="11"/>
  <c r="X340" i="11" s="1"/>
  <c r="Y340" i="11" s="1"/>
  <c r="U341" i="11" s="1"/>
  <c r="AE397" i="11"/>
  <c r="AA391" i="11"/>
  <c r="AB392" i="11"/>
  <c r="W341" i="11" l="1"/>
  <c r="V341" i="11"/>
  <c r="X341" i="11" s="1"/>
  <c r="Y341" i="11" s="1"/>
  <c r="U342" i="11" s="1"/>
  <c r="AE398" i="11"/>
  <c r="AA392" i="11"/>
  <c r="AB393" i="11"/>
  <c r="W342" i="11" l="1"/>
  <c r="V342" i="11"/>
  <c r="X342" i="11" s="1"/>
  <c r="Y342" i="11" s="1"/>
  <c r="U343" i="11" s="1"/>
  <c r="AA393" i="11"/>
  <c r="AB394" i="11"/>
  <c r="AE399" i="11"/>
  <c r="W343" i="11" l="1"/>
  <c r="V343" i="11"/>
  <c r="X343" i="11" s="1"/>
  <c r="Y343" i="11" s="1"/>
  <c r="U344" i="11" s="1"/>
  <c r="AE400" i="11"/>
  <c r="AA394" i="11"/>
  <c r="AB395" i="11"/>
  <c r="W344" i="11" l="1"/>
  <c r="V344" i="11"/>
  <c r="X344" i="11" s="1"/>
  <c r="Y344" i="11" s="1"/>
  <c r="U345" i="11" s="1"/>
  <c r="AA395" i="11"/>
  <c r="AB396" i="11"/>
  <c r="AE401" i="11"/>
  <c r="W345" i="11" l="1"/>
  <c r="V345" i="11"/>
  <c r="X345" i="11" s="1"/>
  <c r="Y345" i="11" s="1"/>
  <c r="U346" i="11" s="1"/>
  <c r="AE402" i="11"/>
  <c r="AA396" i="11"/>
  <c r="AB397" i="11"/>
  <c r="W346" i="11" l="1"/>
  <c r="V346" i="11"/>
  <c r="X346" i="11" s="1"/>
  <c r="Y346" i="11" s="1"/>
  <c r="U347" i="11" s="1"/>
  <c r="AA397" i="11"/>
  <c r="AB398" i="11"/>
  <c r="AE403" i="11"/>
  <c r="W347" i="11" l="1"/>
  <c r="V347" i="11"/>
  <c r="X347" i="11" s="1"/>
  <c r="Y347" i="11" s="1"/>
  <c r="U348" i="11" s="1"/>
  <c r="AA398" i="11"/>
  <c r="AB399" i="11"/>
  <c r="AE404" i="11"/>
  <c r="W348" i="11" l="1"/>
  <c r="V348" i="11"/>
  <c r="X348" i="11" s="1"/>
  <c r="Y348" i="11" s="1"/>
  <c r="U349" i="11" s="1"/>
  <c r="AE405" i="11"/>
  <c r="AA399" i="11"/>
  <c r="AB400" i="11"/>
  <c r="W349" i="11" l="1"/>
  <c r="V349" i="11"/>
  <c r="X349" i="11" s="1"/>
  <c r="Y349" i="11" s="1"/>
  <c r="U350" i="11" s="1"/>
  <c r="AA400" i="11"/>
  <c r="AB401" i="11"/>
  <c r="AE406" i="11"/>
  <c r="W350" i="11" l="1"/>
  <c r="V350" i="11"/>
  <c r="X350" i="11" s="1"/>
  <c r="Y350" i="11" s="1"/>
  <c r="U351" i="11" s="1"/>
  <c r="AE407" i="11"/>
  <c r="AA401" i="11"/>
  <c r="AB402" i="11"/>
  <c r="W351" i="11" l="1"/>
  <c r="V351" i="11"/>
  <c r="X351" i="11" s="1"/>
  <c r="Y351" i="11" s="1"/>
  <c r="U352" i="11" s="1"/>
  <c r="AE408" i="11"/>
  <c r="AA402" i="11"/>
  <c r="AB403" i="11"/>
  <c r="W352" i="11" l="1"/>
  <c r="V352" i="11"/>
  <c r="X352" i="11" s="1"/>
  <c r="Y352" i="11" s="1"/>
  <c r="U353" i="11" s="1"/>
  <c r="AE409" i="11"/>
  <c r="AA403" i="11"/>
  <c r="AB404" i="11"/>
  <c r="W353" i="11" l="1"/>
  <c r="V353" i="11"/>
  <c r="X353" i="11" s="1"/>
  <c r="Y353" i="11" s="1"/>
  <c r="U354" i="11" s="1"/>
  <c r="AA404" i="11"/>
  <c r="AB405" i="11"/>
  <c r="AE410" i="11"/>
  <c r="W354" i="11" l="1"/>
  <c r="V354" i="11"/>
  <c r="X354" i="11" s="1"/>
  <c r="Y354" i="11" s="1"/>
  <c r="U355" i="11" s="1"/>
  <c r="AE411" i="11"/>
  <c r="AA405" i="11"/>
  <c r="AB406" i="11"/>
  <c r="W355" i="11" l="1"/>
  <c r="V355" i="11"/>
  <c r="X355" i="11" s="1"/>
  <c r="Y355" i="11" s="1"/>
  <c r="U356" i="11" s="1"/>
  <c r="AE412" i="11"/>
  <c r="AA406" i="11"/>
  <c r="AB407" i="11"/>
  <c r="W356" i="11" l="1"/>
  <c r="V356" i="11"/>
  <c r="X356" i="11" s="1"/>
  <c r="Y356" i="11" s="1"/>
  <c r="U357" i="11" s="1"/>
  <c r="AA407" i="11"/>
  <c r="AB408" i="11"/>
  <c r="AE413" i="11"/>
  <c r="W357" i="11" l="1"/>
  <c r="V357" i="11"/>
  <c r="X357" i="11" s="1"/>
  <c r="Y357" i="11" s="1"/>
  <c r="U358" i="11" s="1"/>
  <c r="AA408" i="11"/>
  <c r="AB409" i="11"/>
  <c r="AE414" i="11"/>
  <c r="W358" i="11" l="1"/>
  <c r="V358" i="11"/>
  <c r="X358" i="11" s="1"/>
  <c r="Y358" i="11" s="1"/>
  <c r="U359" i="11" s="1"/>
  <c r="AE415" i="11"/>
  <c r="AA409" i="11"/>
  <c r="AB410" i="11"/>
  <c r="W359" i="11" l="1"/>
  <c r="V359" i="11"/>
  <c r="X359" i="11" s="1"/>
  <c r="Y359" i="11" s="1"/>
  <c r="U360" i="11" s="1"/>
  <c r="AA410" i="11"/>
  <c r="AB411" i="11"/>
  <c r="AE416" i="11"/>
  <c r="W360" i="11" l="1"/>
  <c r="V360" i="11"/>
  <c r="X360" i="11" s="1"/>
  <c r="Y360" i="11" s="1"/>
  <c r="U361" i="11" s="1"/>
  <c r="AA411" i="11"/>
  <c r="AB412" i="11"/>
  <c r="AE417" i="11"/>
  <c r="W361" i="11" l="1"/>
  <c r="V361" i="11"/>
  <c r="X361" i="11" s="1"/>
  <c r="Y361" i="11" s="1"/>
  <c r="U362" i="11" s="1"/>
  <c r="AE418" i="11"/>
  <c r="AA412" i="11"/>
  <c r="AB413" i="11"/>
  <c r="W362" i="11" l="1"/>
  <c r="V362" i="11"/>
  <c r="X362" i="11" s="1"/>
  <c r="Y362" i="11" s="1"/>
  <c r="U363" i="11" s="1"/>
  <c r="AE419" i="11"/>
  <c r="AA413" i="11"/>
  <c r="AB414" i="11"/>
  <c r="W363" i="11" l="1"/>
  <c r="V363" i="11"/>
  <c r="X363" i="11" s="1"/>
  <c r="Y363" i="11" s="1"/>
  <c r="U364" i="11" s="1"/>
  <c r="AE420" i="11"/>
  <c r="AA414" i="11"/>
  <c r="AB415" i="11"/>
  <c r="W364" i="11" l="1"/>
  <c r="V364" i="11"/>
  <c r="X364" i="11" s="1"/>
  <c r="Y364" i="11" s="1"/>
  <c r="U365" i="11" s="1"/>
  <c r="AE421" i="11"/>
  <c r="AA415" i="11"/>
  <c r="AB416" i="11"/>
  <c r="W365" i="11" l="1"/>
  <c r="V365" i="11"/>
  <c r="X365" i="11" s="1"/>
  <c r="Y365" i="11" s="1"/>
  <c r="U366" i="11" s="1"/>
  <c r="AE422" i="11"/>
  <c r="AA416" i="11"/>
  <c r="AB417" i="11"/>
  <c r="W366" i="11" l="1"/>
  <c r="V366" i="11"/>
  <c r="X366" i="11" s="1"/>
  <c r="Y366" i="11" s="1"/>
  <c r="U367" i="11" s="1"/>
  <c r="AA417" i="11"/>
  <c r="AB418" i="11"/>
  <c r="AE423" i="11"/>
  <c r="W367" i="11" l="1"/>
  <c r="V367" i="11"/>
  <c r="X367" i="11" s="1"/>
  <c r="Y367" i="11" s="1"/>
  <c r="U368" i="11" s="1"/>
  <c r="AE424" i="11"/>
  <c r="AA418" i="11"/>
  <c r="AB419" i="11"/>
  <c r="W368" i="11" l="1"/>
  <c r="V368" i="11"/>
  <c r="X368" i="11" s="1"/>
  <c r="Y368" i="11" s="1"/>
  <c r="U369" i="11" s="1"/>
  <c r="AA419" i="11"/>
  <c r="AB420" i="11"/>
  <c r="AE425" i="11"/>
  <c r="W369" i="11" l="1"/>
  <c r="V369" i="11"/>
  <c r="X369" i="11" s="1"/>
  <c r="Y369" i="11" s="1"/>
  <c r="U370" i="11" s="1"/>
  <c r="AE426" i="11"/>
  <c r="AA420" i="11"/>
  <c r="AB421" i="11"/>
  <c r="W370" i="11" l="1"/>
  <c r="V370" i="11"/>
  <c r="X370" i="11" s="1"/>
  <c r="Y370" i="11" s="1"/>
  <c r="U371" i="11" s="1"/>
  <c r="AA421" i="11"/>
  <c r="AB422" i="11"/>
  <c r="AE427" i="11"/>
  <c r="W371" i="11" l="1"/>
  <c r="V371" i="11"/>
  <c r="AE428" i="11"/>
  <c r="AA422" i="11"/>
  <c r="AB423" i="11"/>
  <c r="X371" i="11" l="1"/>
  <c r="Y371" i="11" s="1"/>
  <c r="U372" i="11" s="1"/>
  <c r="W372" i="11"/>
  <c r="V372" i="11"/>
  <c r="X372" i="11" s="1"/>
  <c r="Y372" i="11" s="1"/>
  <c r="U373" i="11" s="1"/>
  <c r="AE429" i="11"/>
  <c r="AA423" i="11"/>
  <c r="AB424" i="11"/>
  <c r="W373" i="11" l="1"/>
  <c r="V373" i="11"/>
  <c r="AA424" i="11"/>
  <c r="AB425" i="11"/>
  <c r="AE430" i="11"/>
  <c r="X373" i="11" l="1"/>
  <c r="Y373" i="11" s="1"/>
  <c r="U374" i="11" s="1"/>
  <c r="W374" i="11"/>
  <c r="V374" i="11"/>
  <c r="X374" i="11" s="1"/>
  <c r="Y374" i="11" s="1"/>
  <c r="U375" i="11" s="1"/>
  <c r="AE431" i="11"/>
  <c r="AA425" i="11"/>
  <c r="AB426" i="11"/>
  <c r="W375" i="11" l="1"/>
  <c r="V375" i="11"/>
  <c r="X375" i="11" s="1"/>
  <c r="Y375" i="11" s="1"/>
  <c r="U376" i="11" s="1"/>
  <c r="AA426" i="11"/>
  <c r="AB427" i="11"/>
  <c r="AE432" i="11"/>
  <c r="W376" i="11" l="1"/>
  <c r="V376" i="11"/>
  <c r="X376" i="11" s="1"/>
  <c r="Y376" i="11" s="1"/>
  <c r="U377" i="11" s="1"/>
  <c r="AE433" i="11"/>
  <c r="AA427" i="11"/>
  <c r="AB428" i="11"/>
  <c r="W377" i="11" l="1"/>
  <c r="V377" i="11"/>
  <c r="X377" i="11" s="1"/>
  <c r="Y377" i="11" s="1"/>
  <c r="U378" i="11" s="1"/>
  <c r="AE434" i="11"/>
  <c r="AA428" i="11"/>
  <c r="AB429" i="11"/>
  <c r="W378" i="11" l="1"/>
  <c r="V378" i="11"/>
  <c r="X378" i="11" s="1"/>
  <c r="Y378" i="11" s="1"/>
  <c r="U379" i="11" s="1"/>
  <c r="AA429" i="11"/>
  <c r="AB430" i="11"/>
  <c r="AE435" i="11"/>
  <c r="W379" i="11" l="1"/>
  <c r="V379" i="11"/>
  <c r="X379" i="11" s="1"/>
  <c r="Y379" i="11" s="1"/>
  <c r="U380" i="11" s="1"/>
  <c r="AE436" i="11"/>
  <c r="AA430" i="11"/>
  <c r="AB431" i="11"/>
  <c r="W380" i="11" l="1"/>
  <c r="V380" i="11"/>
  <c r="X380" i="11" s="1"/>
  <c r="Y380" i="11" s="1"/>
  <c r="U381" i="11" s="1"/>
  <c r="AA431" i="11"/>
  <c r="AB432" i="11"/>
  <c r="AE437" i="11"/>
  <c r="W381" i="11" l="1"/>
  <c r="V381" i="11"/>
  <c r="X381" i="11" s="1"/>
  <c r="Y381" i="11" s="1"/>
  <c r="U382" i="11" s="1"/>
  <c r="AE438" i="11"/>
  <c r="AA432" i="11"/>
  <c r="AB433" i="11"/>
  <c r="W382" i="11" l="1"/>
  <c r="V382" i="11"/>
  <c r="X382" i="11" s="1"/>
  <c r="Y382" i="11" s="1"/>
  <c r="U383" i="11" s="1"/>
  <c r="AA433" i="11"/>
  <c r="AB434" i="11"/>
  <c r="AE439" i="11"/>
  <c r="W383" i="11" l="1"/>
  <c r="V383" i="11"/>
  <c r="X383" i="11" s="1"/>
  <c r="Y383" i="11" s="1"/>
  <c r="U384" i="11" s="1"/>
  <c r="AE440" i="11"/>
  <c r="AA434" i="11"/>
  <c r="AB435" i="11"/>
  <c r="W384" i="11" l="1"/>
  <c r="V384" i="11"/>
  <c r="X384" i="11" s="1"/>
  <c r="Y384" i="11" s="1"/>
  <c r="U385" i="11" s="1"/>
  <c r="AA435" i="11"/>
  <c r="AB436" i="11"/>
  <c r="AE441" i="11"/>
  <c r="W385" i="11" l="1"/>
  <c r="V385" i="11"/>
  <c r="X385" i="11" s="1"/>
  <c r="Y385" i="11" s="1"/>
  <c r="U386" i="11" s="1"/>
  <c r="AE442" i="11"/>
  <c r="AA436" i="11"/>
  <c r="AB437" i="11"/>
  <c r="W386" i="11" l="1"/>
  <c r="V386" i="11"/>
  <c r="X386" i="11" s="1"/>
  <c r="Y386" i="11" s="1"/>
  <c r="U387" i="11" s="1"/>
  <c r="AA437" i="11"/>
  <c r="AB438" i="11"/>
  <c r="AE443" i="11"/>
  <c r="W387" i="11" l="1"/>
  <c r="V387" i="11"/>
  <c r="X387" i="11" s="1"/>
  <c r="Y387" i="11" s="1"/>
  <c r="U388" i="11" s="1"/>
  <c r="AE444" i="11"/>
  <c r="AA438" i="11"/>
  <c r="AB439" i="11"/>
  <c r="W388" i="11" l="1"/>
  <c r="V388" i="11"/>
  <c r="X388" i="11" s="1"/>
  <c r="Y388" i="11" s="1"/>
  <c r="U389" i="11" s="1"/>
  <c r="AA439" i="11"/>
  <c r="AB440" i="11"/>
  <c r="AE445" i="11"/>
  <c r="W389" i="11" l="1"/>
  <c r="V389" i="11"/>
  <c r="X389" i="11" s="1"/>
  <c r="Y389" i="11" s="1"/>
  <c r="U390" i="11" s="1"/>
  <c r="AE446" i="11"/>
  <c r="AA440" i="11"/>
  <c r="AB441" i="11"/>
  <c r="W390" i="11" l="1"/>
  <c r="V390" i="11"/>
  <c r="X390" i="11" s="1"/>
  <c r="Y390" i="11" s="1"/>
  <c r="U391" i="11" s="1"/>
  <c r="AE447" i="11"/>
  <c r="AA441" i="11"/>
  <c r="AB442" i="11"/>
  <c r="W391" i="11" l="1"/>
  <c r="V391" i="11"/>
  <c r="X391" i="11" s="1"/>
  <c r="Y391" i="11" s="1"/>
  <c r="U392" i="11" s="1"/>
  <c r="AA442" i="11"/>
  <c r="AB443" i="11"/>
  <c r="AE448" i="11"/>
  <c r="W392" i="11" l="1"/>
  <c r="V392" i="11"/>
  <c r="X392" i="11" s="1"/>
  <c r="Y392" i="11" s="1"/>
  <c r="U393" i="11" s="1"/>
  <c r="AE449" i="11"/>
  <c r="AA443" i="11"/>
  <c r="AB444" i="11"/>
  <c r="W393" i="11" l="1"/>
  <c r="V393" i="11"/>
  <c r="X393" i="11" s="1"/>
  <c r="Y393" i="11" s="1"/>
  <c r="U394" i="11" s="1"/>
  <c r="AA444" i="11"/>
  <c r="AB445" i="11"/>
  <c r="AE450" i="11"/>
  <c r="W394" i="11" l="1"/>
  <c r="V394" i="11"/>
  <c r="X394" i="11" s="1"/>
  <c r="Y394" i="11" s="1"/>
  <c r="U395" i="11" s="1"/>
  <c r="AE451" i="11"/>
  <c r="AA445" i="11"/>
  <c r="AB446" i="11"/>
  <c r="W395" i="11" l="1"/>
  <c r="V395" i="11"/>
  <c r="X395" i="11" s="1"/>
  <c r="Y395" i="11" s="1"/>
  <c r="U396" i="11" s="1"/>
  <c r="AA446" i="11"/>
  <c r="AB447" i="11"/>
  <c r="AE452" i="11"/>
  <c r="W396" i="11" l="1"/>
  <c r="V396" i="11"/>
  <c r="X396" i="11" s="1"/>
  <c r="Y396" i="11" s="1"/>
  <c r="U397" i="11" s="1"/>
  <c r="AE453" i="11"/>
  <c r="AA447" i="11"/>
  <c r="AB448" i="11"/>
  <c r="W397" i="11" l="1"/>
  <c r="V397" i="11"/>
  <c r="X397" i="11" s="1"/>
  <c r="Y397" i="11" s="1"/>
  <c r="U398" i="11" s="1"/>
  <c r="AA448" i="11"/>
  <c r="AB449" i="11"/>
  <c r="AE454" i="11"/>
  <c r="W398" i="11" l="1"/>
  <c r="V398" i="11"/>
  <c r="X398" i="11" s="1"/>
  <c r="Y398" i="11" s="1"/>
  <c r="U399" i="11" s="1"/>
  <c r="AE455" i="11"/>
  <c r="AA449" i="11"/>
  <c r="AB450" i="11"/>
  <c r="W399" i="11" l="1"/>
  <c r="V399" i="11"/>
  <c r="X399" i="11" s="1"/>
  <c r="Y399" i="11" s="1"/>
  <c r="U400" i="11" s="1"/>
  <c r="AA450" i="11"/>
  <c r="AB451" i="11"/>
  <c r="AE456" i="11"/>
  <c r="W400" i="11" l="1"/>
  <c r="V400" i="11"/>
  <c r="X400" i="11" s="1"/>
  <c r="Y400" i="11" s="1"/>
  <c r="U401" i="11" s="1"/>
  <c r="AE457" i="11"/>
  <c r="AA451" i="11"/>
  <c r="AB452" i="11"/>
  <c r="W401" i="11" l="1"/>
  <c r="V401" i="11"/>
  <c r="X401" i="11" s="1"/>
  <c r="Y401" i="11" s="1"/>
  <c r="U402" i="11" s="1"/>
  <c r="AA452" i="11"/>
  <c r="AB453" i="11"/>
  <c r="AE458" i="11"/>
  <c r="W402" i="11" l="1"/>
  <c r="V402" i="11"/>
  <c r="X402" i="11" s="1"/>
  <c r="Y402" i="11" s="1"/>
  <c r="U403" i="11" s="1"/>
  <c r="AE459" i="11"/>
  <c r="AA453" i="11"/>
  <c r="AB454" i="11"/>
  <c r="W403" i="11" l="1"/>
  <c r="V403" i="11"/>
  <c r="X403" i="11" s="1"/>
  <c r="Y403" i="11" s="1"/>
  <c r="U404" i="11" s="1"/>
  <c r="AA454" i="11"/>
  <c r="AB455" i="11"/>
  <c r="AE460" i="11"/>
  <c r="W404" i="11" l="1"/>
  <c r="V404" i="11"/>
  <c r="X404" i="11" s="1"/>
  <c r="Y404" i="11" s="1"/>
  <c r="U405" i="11" s="1"/>
  <c r="AE461" i="11"/>
  <c r="AA455" i="11"/>
  <c r="AB456" i="11"/>
  <c r="W405" i="11" l="1"/>
  <c r="V405" i="11"/>
  <c r="X405" i="11" s="1"/>
  <c r="Y405" i="11" s="1"/>
  <c r="U406" i="11" s="1"/>
  <c r="AA456" i="11"/>
  <c r="AB457" i="11"/>
  <c r="AE462" i="11"/>
  <c r="W406" i="11" l="1"/>
  <c r="V406" i="11"/>
  <c r="X406" i="11" s="1"/>
  <c r="Y406" i="11" s="1"/>
  <c r="U407" i="11" s="1"/>
  <c r="AE463" i="11"/>
  <c r="AA457" i="11"/>
  <c r="AB458" i="11"/>
  <c r="W407" i="11" l="1"/>
  <c r="V407" i="11"/>
  <c r="X407" i="11" s="1"/>
  <c r="Y407" i="11" s="1"/>
  <c r="U408" i="11" s="1"/>
  <c r="AE464" i="11"/>
  <c r="AA458" i="11"/>
  <c r="AB459" i="11"/>
  <c r="W408" i="11" l="1"/>
  <c r="V408" i="11"/>
  <c r="X408" i="11" s="1"/>
  <c r="Y408" i="11" s="1"/>
  <c r="U409" i="11" s="1"/>
  <c r="AE465" i="11"/>
  <c r="AA459" i="11"/>
  <c r="AB460" i="11"/>
  <c r="W409" i="11" l="1"/>
  <c r="V409" i="11"/>
  <c r="X409" i="11" s="1"/>
  <c r="Y409" i="11" s="1"/>
  <c r="U410" i="11" s="1"/>
  <c r="AE466" i="11"/>
  <c r="AA460" i="11"/>
  <c r="AB461" i="11"/>
  <c r="W410" i="11" l="1"/>
  <c r="V410" i="11"/>
  <c r="X410" i="11" s="1"/>
  <c r="Y410" i="11" s="1"/>
  <c r="U411" i="11" s="1"/>
  <c r="AA461" i="11"/>
  <c r="AB462" i="11"/>
  <c r="AE467" i="11"/>
  <c r="W411" i="11" l="1"/>
  <c r="V411" i="11"/>
  <c r="X411" i="11" s="1"/>
  <c r="Y411" i="11" s="1"/>
  <c r="U412" i="11" s="1"/>
  <c r="AA462" i="11"/>
  <c r="AB463" i="11"/>
  <c r="AE468" i="11"/>
  <c r="W412" i="11" l="1"/>
  <c r="V412" i="11"/>
  <c r="X412" i="11" s="1"/>
  <c r="Y412" i="11" s="1"/>
  <c r="U413" i="11" s="1"/>
  <c r="AA463" i="11"/>
  <c r="AB464" i="11"/>
  <c r="AE469" i="11"/>
  <c r="W413" i="11" l="1"/>
  <c r="V413" i="11"/>
  <c r="X413" i="11" s="1"/>
  <c r="Y413" i="11" s="1"/>
  <c r="U414" i="11" s="1"/>
  <c r="AA464" i="11"/>
  <c r="AB465" i="11"/>
  <c r="AE470" i="11"/>
  <c r="W414" i="11" l="1"/>
  <c r="V414" i="11"/>
  <c r="X414" i="11" s="1"/>
  <c r="Y414" i="11" s="1"/>
  <c r="U415" i="11" s="1"/>
  <c r="AA465" i="11"/>
  <c r="AB466" i="11"/>
  <c r="AE471" i="11"/>
  <c r="W415" i="11" l="1"/>
  <c r="V415" i="11"/>
  <c r="X415" i="11" s="1"/>
  <c r="Y415" i="11" s="1"/>
  <c r="U416" i="11" s="1"/>
  <c r="AE472" i="11"/>
  <c r="AA466" i="11"/>
  <c r="AB467" i="11"/>
  <c r="W416" i="11" l="1"/>
  <c r="V416" i="11"/>
  <c r="X416" i="11" s="1"/>
  <c r="Y416" i="11" s="1"/>
  <c r="U417" i="11" s="1"/>
  <c r="AA467" i="11"/>
  <c r="AB468" i="11"/>
  <c r="AE473" i="11"/>
  <c r="W417" i="11" l="1"/>
  <c r="V417" i="11"/>
  <c r="X417" i="11" s="1"/>
  <c r="Y417" i="11" s="1"/>
  <c r="U418" i="11" s="1"/>
  <c r="AE474" i="11"/>
  <c r="AA468" i="11"/>
  <c r="AB469" i="11"/>
  <c r="W418" i="11" l="1"/>
  <c r="V418" i="11"/>
  <c r="X418" i="11" s="1"/>
  <c r="Y418" i="11" s="1"/>
  <c r="U419" i="11" s="1"/>
  <c r="AA469" i="11"/>
  <c r="AB470" i="11"/>
  <c r="AE475" i="11"/>
  <c r="W419" i="11" l="1"/>
  <c r="V419" i="11"/>
  <c r="X419" i="11" s="1"/>
  <c r="Y419" i="11" s="1"/>
  <c r="U420" i="11" s="1"/>
  <c r="AE476" i="11"/>
  <c r="AA470" i="11"/>
  <c r="AB471" i="11"/>
  <c r="W420" i="11" l="1"/>
  <c r="V420" i="11"/>
  <c r="X420" i="11" s="1"/>
  <c r="Y420" i="11" s="1"/>
  <c r="U421" i="11" s="1"/>
  <c r="AA471" i="11"/>
  <c r="AB472" i="11"/>
  <c r="AE477" i="11"/>
  <c r="W421" i="11" l="1"/>
  <c r="V421" i="11"/>
  <c r="X421" i="11" s="1"/>
  <c r="Y421" i="11" s="1"/>
  <c r="U422" i="11" s="1"/>
  <c r="AE478" i="11"/>
  <c r="AA472" i="11"/>
  <c r="AB473" i="11"/>
  <c r="W422" i="11" l="1"/>
  <c r="V422" i="11"/>
  <c r="X422" i="11" s="1"/>
  <c r="Y422" i="11" s="1"/>
  <c r="U423" i="11" s="1"/>
  <c r="AA473" i="11"/>
  <c r="AB474" i="11"/>
  <c r="AE479" i="11"/>
  <c r="W423" i="11" l="1"/>
  <c r="V423" i="11"/>
  <c r="X423" i="11" s="1"/>
  <c r="Y423" i="11" s="1"/>
  <c r="U424" i="11" s="1"/>
  <c r="AA474" i="11"/>
  <c r="AB475" i="11"/>
  <c r="AE480" i="11"/>
  <c r="W424" i="11" l="1"/>
  <c r="V424" i="11"/>
  <c r="X424" i="11" s="1"/>
  <c r="Y424" i="11" s="1"/>
  <c r="U425" i="11" s="1"/>
  <c r="AE481" i="11"/>
  <c r="AA475" i="11"/>
  <c r="AB476" i="11"/>
  <c r="W425" i="11" l="1"/>
  <c r="V425" i="11"/>
  <c r="X425" i="11" s="1"/>
  <c r="Y425" i="11" s="1"/>
  <c r="U426" i="11" s="1"/>
  <c r="AA476" i="11"/>
  <c r="AB477" i="11"/>
  <c r="AE482" i="11"/>
  <c r="W426" i="11" l="1"/>
  <c r="V426" i="11"/>
  <c r="X426" i="11" s="1"/>
  <c r="Y426" i="11" s="1"/>
  <c r="U427" i="11" s="1"/>
  <c r="AA477" i="11"/>
  <c r="AB478" i="11"/>
  <c r="AE483" i="11"/>
  <c r="W427" i="11" l="1"/>
  <c r="V427" i="11"/>
  <c r="X427" i="11" s="1"/>
  <c r="Y427" i="11" s="1"/>
  <c r="U428" i="11" s="1"/>
  <c r="AA478" i="11"/>
  <c r="AB479" i="11"/>
  <c r="AE484" i="11"/>
  <c r="W428" i="11" l="1"/>
  <c r="V428" i="11"/>
  <c r="X428" i="11" s="1"/>
  <c r="Y428" i="11" s="1"/>
  <c r="U429" i="11" s="1"/>
  <c r="AE485" i="11"/>
  <c r="AA479" i="11"/>
  <c r="AB480" i="11"/>
  <c r="W429" i="11" l="1"/>
  <c r="V429" i="11"/>
  <c r="X429" i="11" s="1"/>
  <c r="Y429" i="11" s="1"/>
  <c r="U430" i="11" s="1"/>
  <c r="AA480" i="11"/>
  <c r="AB481" i="11"/>
  <c r="AE486" i="11"/>
  <c r="W430" i="11" l="1"/>
  <c r="V430" i="11"/>
  <c r="X430" i="11" s="1"/>
  <c r="Y430" i="11" s="1"/>
  <c r="U431" i="11" s="1"/>
  <c r="AA481" i="11"/>
  <c r="AB482" i="11"/>
  <c r="AE487" i="11"/>
  <c r="W431" i="11" l="1"/>
  <c r="V431" i="11"/>
  <c r="X431" i="11" s="1"/>
  <c r="Y431" i="11" s="1"/>
  <c r="U432" i="11" s="1"/>
  <c r="AE488" i="11"/>
  <c r="AA482" i="11"/>
  <c r="AB483" i="11"/>
  <c r="W432" i="11" l="1"/>
  <c r="V432" i="11"/>
  <c r="X432" i="11" s="1"/>
  <c r="Y432" i="11" s="1"/>
  <c r="U433" i="11" s="1"/>
  <c r="AA483" i="11"/>
  <c r="AB484" i="11"/>
  <c r="AE489" i="11"/>
  <c r="W433" i="11" l="1"/>
  <c r="V433" i="11"/>
  <c r="X433" i="11" s="1"/>
  <c r="Y433" i="11" s="1"/>
  <c r="U434" i="11" s="1"/>
  <c r="AA484" i="11"/>
  <c r="AB485" i="11"/>
  <c r="AE490" i="11"/>
  <c r="W434" i="11" l="1"/>
  <c r="V434" i="11"/>
  <c r="X434" i="11" s="1"/>
  <c r="Y434" i="11" s="1"/>
  <c r="U435" i="11" s="1"/>
  <c r="AA485" i="11"/>
  <c r="AB486" i="11"/>
  <c r="AE491" i="11"/>
  <c r="W435" i="11" l="1"/>
  <c r="V435" i="11"/>
  <c r="X435" i="11" s="1"/>
  <c r="Y435" i="11" s="1"/>
  <c r="U436" i="11" s="1"/>
  <c r="AA486" i="11"/>
  <c r="AB487" i="11"/>
  <c r="AE492" i="11"/>
  <c r="W436" i="11" l="1"/>
  <c r="V436" i="11"/>
  <c r="X436" i="11" s="1"/>
  <c r="Y436" i="11" s="1"/>
  <c r="U437" i="11" s="1"/>
  <c r="AE493" i="11"/>
  <c r="AA487" i="11"/>
  <c r="AB488" i="11"/>
  <c r="W437" i="11" l="1"/>
  <c r="V437" i="11"/>
  <c r="X437" i="11" s="1"/>
  <c r="Y437" i="11" s="1"/>
  <c r="U438" i="11" s="1"/>
  <c r="AA488" i="11"/>
  <c r="AB489" i="11"/>
  <c r="AE494" i="11"/>
  <c r="W438" i="11" l="1"/>
  <c r="V438" i="11"/>
  <c r="X438" i="11" s="1"/>
  <c r="Y438" i="11" s="1"/>
  <c r="U439" i="11" s="1"/>
  <c r="AE495" i="11"/>
  <c r="AA489" i="11"/>
  <c r="AB490" i="11"/>
  <c r="W439" i="11" l="1"/>
  <c r="V439" i="11"/>
  <c r="X439" i="11" s="1"/>
  <c r="Y439" i="11" s="1"/>
  <c r="U440" i="11" s="1"/>
  <c r="AA490" i="11"/>
  <c r="AB491" i="11"/>
  <c r="AE496" i="11"/>
  <c r="W440" i="11" l="1"/>
  <c r="V440" i="11"/>
  <c r="X440" i="11" s="1"/>
  <c r="Y440" i="11" s="1"/>
  <c r="U441" i="11" s="1"/>
  <c r="AE497" i="11"/>
  <c r="AA491" i="11"/>
  <c r="AB492" i="11"/>
  <c r="W441" i="11" l="1"/>
  <c r="V441" i="11"/>
  <c r="X441" i="11" s="1"/>
  <c r="Y441" i="11" s="1"/>
  <c r="U442" i="11" s="1"/>
  <c r="AA492" i="11"/>
  <c r="AB493" i="11"/>
  <c r="W442" i="11" l="1"/>
  <c r="V442" i="11"/>
  <c r="X442" i="11" s="1"/>
  <c r="Y442" i="11" s="1"/>
  <c r="U443" i="11" s="1"/>
  <c r="AA493" i="11"/>
  <c r="AB494" i="11"/>
  <c r="W443" i="11" l="1"/>
  <c r="V443" i="11"/>
  <c r="AA494" i="11"/>
  <c r="AB495" i="11"/>
  <c r="X443" i="11" l="1"/>
  <c r="Y443" i="11" s="1"/>
  <c r="U444" i="11" s="1"/>
  <c r="W444" i="11" s="1"/>
  <c r="V444" i="11"/>
  <c r="AA495" i="11"/>
  <c r="AB496" i="11"/>
  <c r="X444" i="11" l="1"/>
  <c r="Y444" i="11" s="1"/>
  <c r="U445" i="11" s="1"/>
  <c r="W445" i="11" s="1"/>
  <c r="V445" i="11"/>
  <c r="AA496" i="11"/>
  <c r="AB497" i="11"/>
  <c r="AA497" i="11" s="1"/>
  <c r="X445" i="11" l="1"/>
  <c r="Y445" i="11" s="1"/>
  <c r="U446" i="11" s="1"/>
  <c r="W446" i="11"/>
  <c r="V446" i="11"/>
  <c r="X446" i="11" s="1"/>
  <c r="Y446" i="11" s="1"/>
  <c r="U447" i="11" s="1"/>
  <c r="W447" i="11" l="1"/>
  <c r="V447" i="11"/>
  <c r="X447" i="11" s="1"/>
  <c r="Y447" i="11" s="1"/>
  <c r="U448" i="11" s="1"/>
  <c r="W448" i="11" l="1"/>
  <c r="V448" i="11"/>
  <c r="X448" i="11" s="1"/>
  <c r="Y448" i="11" s="1"/>
  <c r="U449" i="11" s="1"/>
  <c r="W449" i="11" l="1"/>
  <c r="V449" i="11"/>
  <c r="X449" i="11" s="1"/>
  <c r="Y449" i="11" s="1"/>
  <c r="U450" i="11" s="1"/>
  <c r="W450" i="11" l="1"/>
  <c r="V450" i="11"/>
  <c r="X450" i="11" s="1"/>
  <c r="Y450" i="11" s="1"/>
  <c r="U451" i="11" s="1"/>
  <c r="W451" i="11" l="1"/>
  <c r="V451" i="11"/>
  <c r="X451" i="11" s="1"/>
  <c r="Y451" i="11" s="1"/>
  <c r="U452" i="11" s="1"/>
  <c r="W452" i="11" l="1"/>
  <c r="V452" i="11"/>
  <c r="X452" i="11" s="1"/>
  <c r="Y452" i="11" s="1"/>
  <c r="U453" i="11" s="1"/>
  <c r="W453" i="11" l="1"/>
  <c r="V453" i="11"/>
  <c r="X453" i="11" s="1"/>
  <c r="Y453" i="11" s="1"/>
  <c r="U454" i="11" s="1"/>
  <c r="W454" i="11" l="1"/>
  <c r="V454" i="11"/>
  <c r="X454" i="11" s="1"/>
  <c r="Y454" i="11" s="1"/>
  <c r="U455" i="11" s="1"/>
  <c r="W455" i="11" l="1"/>
  <c r="V455" i="11"/>
  <c r="X455" i="11" s="1"/>
  <c r="Y455" i="11" s="1"/>
  <c r="U456" i="11" s="1"/>
  <c r="W456" i="11" l="1"/>
  <c r="V456" i="11"/>
  <c r="X456" i="11" s="1"/>
  <c r="Y456" i="11" s="1"/>
  <c r="U457" i="11" s="1"/>
  <c r="W457" i="11" l="1"/>
  <c r="V457" i="11"/>
  <c r="X457" i="11" s="1"/>
  <c r="Y457" i="11" s="1"/>
  <c r="U458" i="11" s="1"/>
  <c r="W458" i="11" l="1"/>
  <c r="V458" i="11"/>
  <c r="X458" i="11" s="1"/>
  <c r="Y458" i="11" s="1"/>
  <c r="U459" i="11" s="1"/>
  <c r="W459" i="11" l="1"/>
  <c r="V459" i="11"/>
  <c r="X459" i="11" s="1"/>
  <c r="Y459" i="11" s="1"/>
  <c r="U460" i="11" s="1"/>
  <c r="W460" i="11" l="1"/>
  <c r="V460" i="11"/>
  <c r="X460" i="11" s="1"/>
  <c r="Y460" i="11" s="1"/>
  <c r="U461" i="11" s="1"/>
  <c r="W461" i="11" l="1"/>
  <c r="V461" i="11"/>
  <c r="X461" i="11" s="1"/>
  <c r="Y461" i="11" s="1"/>
  <c r="U462" i="11" s="1"/>
  <c r="W462" i="11" l="1"/>
  <c r="V462" i="11"/>
  <c r="X462" i="11" s="1"/>
  <c r="Y462" i="11" s="1"/>
  <c r="U463" i="11" s="1"/>
  <c r="W463" i="11" l="1"/>
  <c r="V463" i="11"/>
  <c r="X463" i="11" s="1"/>
  <c r="Y463" i="11" s="1"/>
  <c r="U464" i="11" s="1"/>
  <c r="W464" i="11" l="1"/>
  <c r="V464" i="11"/>
  <c r="X464" i="11" s="1"/>
  <c r="Y464" i="11" s="1"/>
  <c r="U465" i="11" s="1"/>
  <c r="W465" i="11" l="1"/>
  <c r="V465" i="11"/>
  <c r="X465" i="11" s="1"/>
  <c r="Y465" i="11" s="1"/>
  <c r="U466" i="11" s="1"/>
  <c r="W466" i="11" l="1"/>
  <c r="V466" i="11"/>
  <c r="X466" i="11" s="1"/>
  <c r="Y466" i="11" s="1"/>
  <c r="U467" i="11" s="1"/>
  <c r="W467" i="11" l="1"/>
  <c r="V467" i="11"/>
  <c r="X467" i="11" s="1"/>
  <c r="Y467" i="11" s="1"/>
  <c r="U468" i="11" s="1"/>
  <c r="W468" i="11" l="1"/>
  <c r="V468" i="11"/>
  <c r="X468" i="11" s="1"/>
  <c r="Y468" i="11" s="1"/>
  <c r="U469" i="11" s="1"/>
  <c r="W469" i="11" l="1"/>
  <c r="V469" i="11"/>
  <c r="X469" i="11" s="1"/>
  <c r="Y469" i="11" s="1"/>
  <c r="U470" i="11" s="1"/>
  <c r="W470" i="11" l="1"/>
  <c r="V470" i="11"/>
  <c r="X470" i="11" s="1"/>
  <c r="Y470" i="11" s="1"/>
  <c r="U471" i="11" s="1"/>
  <c r="W471" i="11" l="1"/>
  <c r="V471" i="11"/>
  <c r="X471" i="11" s="1"/>
  <c r="Y471" i="11" s="1"/>
  <c r="U472" i="11" s="1"/>
  <c r="W472" i="11" l="1"/>
  <c r="V472" i="11"/>
  <c r="X472" i="11" s="1"/>
  <c r="Y472" i="11" s="1"/>
  <c r="U473" i="11" s="1"/>
  <c r="W473" i="11" l="1"/>
  <c r="V473" i="11"/>
  <c r="X473" i="11" s="1"/>
  <c r="Y473" i="11" s="1"/>
  <c r="U474" i="11" s="1"/>
  <c r="W474" i="11" l="1"/>
  <c r="V474" i="11"/>
  <c r="X474" i="11" s="1"/>
  <c r="Y474" i="11" s="1"/>
  <c r="U475" i="11" s="1"/>
  <c r="W475" i="11" l="1"/>
  <c r="V475" i="11"/>
  <c r="X475" i="11" s="1"/>
  <c r="Y475" i="11" s="1"/>
  <c r="U476" i="11" s="1"/>
  <c r="W476" i="11" l="1"/>
  <c r="V476" i="11"/>
  <c r="X476" i="11" s="1"/>
  <c r="Y476" i="11" s="1"/>
  <c r="U477" i="11" s="1"/>
  <c r="W477" i="11" l="1"/>
  <c r="V477" i="11"/>
  <c r="X477" i="11" s="1"/>
  <c r="Y477" i="11" s="1"/>
  <c r="U478" i="11" s="1"/>
  <c r="W478" i="11" l="1"/>
  <c r="V478" i="11"/>
  <c r="X478" i="11" s="1"/>
  <c r="Y478" i="11" s="1"/>
  <c r="U479" i="11" s="1"/>
  <c r="W479" i="11" l="1"/>
  <c r="V479" i="11"/>
  <c r="X479" i="11" s="1"/>
  <c r="Y479" i="11" s="1"/>
  <c r="U480" i="11" s="1"/>
  <c r="W480" i="11" l="1"/>
  <c r="V480" i="11"/>
  <c r="X480" i="11" s="1"/>
  <c r="Y480" i="11" s="1"/>
  <c r="U481" i="11" s="1"/>
  <c r="W481" i="11" l="1"/>
  <c r="V481" i="11"/>
  <c r="X481" i="11" s="1"/>
  <c r="Y481" i="11" s="1"/>
  <c r="U482" i="11" s="1"/>
  <c r="W482" i="11" l="1"/>
  <c r="V482" i="11"/>
  <c r="X482" i="11" s="1"/>
  <c r="Y482" i="11" s="1"/>
  <c r="U483" i="11" s="1"/>
  <c r="W483" i="11" l="1"/>
  <c r="V483" i="11"/>
  <c r="X483" i="11" s="1"/>
  <c r="Y483" i="11" s="1"/>
  <c r="U484" i="11" s="1"/>
  <c r="W484" i="11" l="1"/>
  <c r="V484" i="11"/>
  <c r="X484" i="11" s="1"/>
  <c r="Y484" i="11" s="1"/>
  <c r="U485" i="11" s="1"/>
  <c r="W485" i="11" l="1"/>
  <c r="V485" i="11"/>
  <c r="X485" i="11" s="1"/>
  <c r="Y485" i="11" s="1"/>
  <c r="U486" i="11" s="1"/>
  <c r="W486" i="11" l="1"/>
  <c r="V486" i="11"/>
  <c r="X486" i="11" s="1"/>
  <c r="Y486" i="11" s="1"/>
  <c r="U487" i="11" s="1"/>
  <c r="W487" i="11" l="1"/>
  <c r="V487" i="11"/>
  <c r="X487" i="11" s="1"/>
  <c r="Y487" i="11" s="1"/>
  <c r="U488" i="11" s="1"/>
  <c r="W488" i="11" l="1"/>
  <c r="V488" i="11"/>
  <c r="X488" i="11" s="1"/>
  <c r="Y488" i="11" s="1"/>
  <c r="U489" i="11" s="1"/>
  <c r="W489" i="11" l="1"/>
  <c r="V489" i="11"/>
  <c r="X489" i="11" s="1"/>
  <c r="Y489" i="11" s="1"/>
  <c r="U490" i="11" s="1"/>
  <c r="W490" i="11" l="1"/>
  <c r="V490" i="11"/>
  <c r="X490" i="11" s="1"/>
  <c r="Y490" i="11" s="1"/>
  <c r="U491" i="11" s="1"/>
  <c r="W491" i="11" l="1"/>
  <c r="V491" i="11"/>
  <c r="X491" i="11" s="1"/>
  <c r="Y491" i="11" s="1"/>
  <c r="U492" i="11" s="1"/>
  <c r="W492" i="11" l="1"/>
  <c r="V492" i="11"/>
  <c r="X492" i="11" s="1"/>
  <c r="Y492" i="11" s="1"/>
  <c r="U493" i="11" s="1"/>
  <c r="W493" i="11" l="1"/>
  <c r="V493" i="11"/>
  <c r="X493" i="11" s="1"/>
  <c r="Y493" i="11" s="1"/>
  <c r="U494" i="11" s="1"/>
  <c r="W494" i="11" l="1"/>
  <c r="V494" i="11"/>
  <c r="X494" i="11" s="1"/>
  <c r="Y494" i="11" s="1"/>
  <c r="U495" i="11" s="1"/>
  <c r="W495" i="11" l="1"/>
  <c r="V495" i="11"/>
  <c r="X495" i="11" s="1"/>
  <c r="Y495" i="11" s="1"/>
  <c r="U496" i="11" s="1"/>
  <c r="W496" i="11" l="1"/>
  <c r="V496" i="11"/>
  <c r="X496" i="11" s="1"/>
  <c r="Y496" i="11" s="1"/>
  <c r="U497" i="11" s="1"/>
  <c r="W497" i="11" l="1"/>
  <c r="V497" i="11"/>
  <c r="X497" i="11" s="1"/>
  <c r="Y5" i="11" l="1"/>
  <c r="Y6" i="11"/>
  <c r="Y7" i="11"/>
  <c r="Y8" i="11"/>
  <c r="Y9" i="11"/>
  <c r="Y10" i="11"/>
  <c r="Y11" i="11"/>
  <c r="Y12" i="11"/>
  <c r="Y13" i="11"/>
  <c r="Y14" i="11"/>
  <c r="Y15" i="11"/>
  <c r="Y497" i="11"/>
  <c r="X5" i="11"/>
  <c r="X6" i="11"/>
  <c r="X7" i="11"/>
  <c r="X8" i="11"/>
  <c r="X9" i="11"/>
  <c r="X10" i="11"/>
  <c r="X11" i="11"/>
  <c r="X12" i="11"/>
  <c r="X13" i="11"/>
  <c r="X14" i="11"/>
  <c r="X15" i="11"/>
  <c r="R30" i="22"/>
  <c r="S30" i="22"/>
  <c r="T30" i="22"/>
  <c r="U30" i="22"/>
  <c r="R34" i="22"/>
  <c r="S34" i="22"/>
  <c r="T34" i="22"/>
  <c r="U34" i="22"/>
  <c r="R37" i="22"/>
  <c r="S37" i="22"/>
  <c r="T37" i="22"/>
  <c r="U37" i="22"/>
  <c r="K41" i="2"/>
  <c r="L41" i="2"/>
  <c r="M41" i="2"/>
  <c r="N41" i="2"/>
  <c r="K90" i="2"/>
  <c r="L90" i="2"/>
  <c r="M90" i="2"/>
  <c r="N90" i="2"/>
  <c r="K98" i="2"/>
  <c r="L98" i="2"/>
  <c r="M98" i="2"/>
  <c r="N98" i="2"/>
  <c r="K100" i="2"/>
  <c r="L100" i="2"/>
  <c r="M100" i="2"/>
  <c r="N100" i="2"/>
  <c r="K103" i="2"/>
  <c r="L103" i="2"/>
  <c r="M103" i="2"/>
  <c r="N103" i="2"/>
  <c r="K104" i="2"/>
  <c r="L104" i="2"/>
  <c r="M104" i="2"/>
  <c r="N104" i="2"/>
  <c r="K105" i="2"/>
  <c r="L105" i="2"/>
  <c r="M105" i="2"/>
  <c r="N105" i="2"/>
  <c r="K106" i="2"/>
  <c r="L106" i="2"/>
  <c r="M106" i="2"/>
  <c r="N106" i="2"/>
  <c r="K107" i="2"/>
  <c r="L107" i="2"/>
  <c r="M107" i="2"/>
  <c r="N107" i="2"/>
  <c r="K108" i="2"/>
  <c r="L108" i="2"/>
  <c r="M108" i="2"/>
  <c r="N108" i="2"/>
  <c r="K109" i="2"/>
  <c r="L109" i="2"/>
  <c r="M109" i="2"/>
  <c r="N109" i="2"/>
  <c r="K110" i="2"/>
  <c r="L110" i="2"/>
  <c r="M110" i="2"/>
  <c r="N110" i="2"/>
  <c r="K111" i="2"/>
  <c r="L111" i="2"/>
  <c r="M111" i="2"/>
  <c r="N111" i="2"/>
  <c r="K112" i="2"/>
  <c r="L112" i="2"/>
  <c r="M112" i="2"/>
  <c r="N112" i="2"/>
  <c r="K113" i="2"/>
  <c r="L113" i="2"/>
  <c r="M113" i="2"/>
  <c r="N113" i="2"/>
  <c r="D115" i="2"/>
  <c r="E115" i="2"/>
  <c r="F115" i="2"/>
  <c r="G115" i="2"/>
  <c r="H115" i="2"/>
  <c r="I115" i="2"/>
  <c r="J115" i="2"/>
  <c r="K116" i="2"/>
  <c r="L116" i="2"/>
  <c r="M116" i="2"/>
  <c r="H25" i="1"/>
  <c r="K26" i="1"/>
  <c r="H27" i="1"/>
  <c r="K27" i="1"/>
  <c r="H28" i="1"/>
  <c r="H29" i="1"/>
  <c r="AA51" i="18"/>
  <c r="AC51" i="18"/>
  <c r="AG51" i="18"/>
  <c r="AA52" i="18"/>
  <c r="AC52" i="18"/>
  <c r="AA55" i="18"/>
  <c r="D56" i="18"/>
  <c r="H56" i="18"/>
  <c r="J56" i="18"/>
  <c r="L56" i="18"/>
  <c r="N56" i="18"/>
  <c r="P56" i="18"/>
  <c r="R56" i="18"/>
  <c r="T56" i="18"/>
  <c r="D58" i="18"/>
  <c r="D59" i="18"/>
  <c r="D60" i="18"/>
  <c r="AA62" i="18"/>
  <c r="AA63" i="18"/>
  <c r="AA66" i="18"/>
  <c r="AA70" i="18"/>
  <c r="AA72" i="18"/>
  <c r="AA74" i="18"/>
  <c r="AA75" i="18"/>
  <c r="AA79" i="18"/>
  <c r="AA81" i="18"/>
  <c r="AA83" i="18"/>
  <c r="AA84" i="18"/>
  <c r="AA87" i="18"/>
  <c r="AA88" i="18"/>
  <c r="AA92" i="18"/>
  <c r="AA93" i="18"/>
  <c r="C96" i="18"/>
  <c r="AA96" i="18"/>
  <c r="AC96" i="18"/>
  <c r="AD96" i="18"/>
  <c r="AA97" i="18"/>
  <c r="AC97" i="18"/>
  <c r="AD9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TJ Park</author>
  </authors>
  <commentList>
    <comment ref="H25" authorId="0" shapeId="0" xr:uid="{00000000-0006-0000-0200-000001000000}">
      <text>
        <r>
          <rPr>
            <sz val="9"/>
            <color indexed="81"/>
            <rFont val="Tahoma"/>
            <family val="2"/>
          </rPr>
          <t>Annual Net Pre-tax Cash Flow / Invested Capital.</t>
        </r>
      </text>
    </comment>
    <comment ref="H26" authorId="0" shapeId="0" xr:uid="{00000000-0006-0000-0200-000002000000}">
      <text>
        <r>
          <rPr>
            <sz val="9"/>
            <color indexed="81"/>
            <rFont val="Tahoma"/>
            <family val="2"/>
          </rPr>
          <t>Cash Yield factoring in return on capital over the life of the investment.</t>
        </r>
      </text>
    </comment>
    <comment ref="H27" authorId="0" shapeId="0" xr:uid="{00000000-0006-0000-0200-000003000000}">
      <text>
        <r>
          <rPr>
            <sz val="9"/>
            <color indexed="81"/>
            <rFont val="Tahoma"/>
            <family val="2"/>
          </rPr>
          <t>Cumulative Distributions / Paid-in Capital.</t>
        </r>
      </text>
    </comment>
    <comment ref="H28" authorId="0" shapeId="0" xr:uid="{00000000-0006-0000-0200-000004000000}">
      <text>
        <r>
          <rPr>
            <sz val="9"/>
            <color indexed="81"/>
            <rFont val="Tahoma"/>
            <family val="2"/>
          </rPr>
          <t>The IRR without Debt Service, Preferred Returns, and other hurdles in the waterfall.</t>
        </r>
      </text>
    </comment>
    <comment ref="H29" authorId="0" shapeId="0" xr:uid="{00000000-0006-0000-0200-000005000000}">
      <text>
        <r>
          <rPr>
            <sz val="9"/>
            <color indexed="81"/>
            <rFont val="Tahoma"/>
            <family val="2"/>
          </rPr>
          <t>The net IRR after cash flow has run through the waterfall's preferred returns, fees, and other hurdles and splits.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TJ Park</author>
  </authors>
  <commentList>
    <comment ref="C9" authorId="0" shapeId="0" xr:uid="{00000000-0006-0000-0900-000001000000}">
      <text>
        <r>
          <rPr>
            <sz val="9"/>
            <color indexed="81"/>
            <rFont val="Tahoma"/>
            <family val="2"/>
          </rPr>
          <t>The Amortization tab shows basic amortizaion schedules for (i) a new senior loan, (ii) assumed debt from the seller, (iii) subordinate loan, and (iv) refinanced loan. The interest and principal payments are separated in each period and shows the annual total debt service amounts in the tables above.
If you are unfamiliar it helps to check the formula and see how they tie in the Waterfall tab.</t>
        </r>
      </text>
    </comment>
  </commentList>
</comments>
</file>

<file path=xl/sharedStrings.xml><?xml version="1.0" encoding="utf-8"?>
<sst xmlns="http://schemas.openxmlformats.org/spreadsheetml/2006/main" count="880" uniqueCount="516">
  <si>
    <t>Property:</t>
  </si>
  <si>
    <t>Address:</t>
  </si>
  <si>
    <t>Year:</t>
  </si>
  <si>
    <t>Units:</t>
  </si>
  <si>
    <t>Initial Offer</t>
  </si>
  <si>
    <t>Broker:</t>
  </si>
  <si>
    <t>Parcel(s):</t>
  </si>
  <si>
    <t>Cap Rate</t>
  </si>
  <si>
    <t>Year</t>
  </si>
  <si>
    <t>Market Rent</t>
  </si>
  <si>
    <t>Gain (Loss) to Lease</t>
  </si>
  <si>
    <t>Gross Potential Rent</t>
  </si>
  <si>
    <t>Vacancy</t>
  </si>
  <si>
    <t>Concessions</t>
  </si>
  <si>
    <t>Bad Debt</t>
  </si>
  <si>
    <t>Non Revenue Units</t>
  </si>
  <si>
    <t>Net Rental Income</t>
  </si>
  <si>
    <t>Utility Income</t>
  </si>
  <si>
    <t>Laundry &amp; Vending</t>
  </si>
  <si>
    <t>Admin &amp; Other Fees</t>
  </si>
  <si>
    <t>Damages &amp; Deposits</t>
  </si>
  <si>
    <t>Pet Fees</t>
  </si>
  <si>
    <t>Other Income 2</t>
  </si>
  <si>
    <t>Other Income 3</t>
  </si>
  <si>
    <t>Miscellaneous Income</t>
  </si>
  <si>
    <t>Expenses</t>
  </si>
  <si>
    <t>Utilities - General &amp; Other</t>
  </si>
  <si>
    <t>Trash</t>
  </si>
  <si>
    <t>Security &amp; Fire</t>
  </si>
  <si>
    <t>Management Fees</t>
  </si>
  <si>
    <t>Administrative &amp; Office</t>
  </si>
  <si>
    <t>Marketing &amp; Leasing</t>
  </si>
  <si>
    <t>Property Tax</t>
  </si>
  <si>
    <t>Insurance</t>
  </si>
  <si>
    <t>Turnover</t>
  </si>
  <si>
    <t>Contract Services</t>
  </si>
  <si>
    <t>Net Operating Income</t>
  </si>
  <si>
    <t>Income</t>
  </si>
  <si>
    <t>Total Other Income</t>
  </si>
  <si>
    <t>Other Expense 3</t>
  </si>
  <si>
    <t>Other Expense 2</t>
  </si>
  <si>
    <t>Other Expense 1</t>
  </si>
  <si>
    <t>Other Income 1</t>
  </si>
  <si>
    <t>Broker's Proforma</t>
  </si>
  <si>
    <t>Instructions:</t>
  </si>
  <si>
    <t>Sq. Ft.</t>
  </si>
  <si>
    <t>Senior Loan</t>
  </si>
  <si>
    <t>Fee #1</t>
  </si>
  <si>
    <t>Fee #2</t>
  </si>
  <si>
    <t>Principal</t>
  </si>
  <si>
    <t>Exit</t>
  </si>
  <si>
    <t>Acquisition Fee</t>
  </si>
  <si>
    <t>Asset Management Fee</t>
  </si>
  <si>
    <t>Closing Costs</t>
  </si>
  <si>
    <t>Construction Budget</t>
  </si>
  <si>
    <t>Construction Management Fee</t>
  </si>
  <si>
    <t>Price</t>
  </si>
  <si>
    <t>Working Capital</t>
  </si>
  <si>
    <t>Operations Reserve</t>
  </si>
  <si>
    <t>Fund Expenses</t>
  </si>
  <si>
    <t>Property</t>
  </si>
  <si>
    <t>NOI</t>
  </si>
  <si>
    <t>Legal, Accounting, Audit, &amp; Tax</t>
  </si>
  <si>
    <t>Construction</t>
  </si>
  <si>
    <t>Due Diligence / Third Party Reports</t>
  </si>
  <si>
    <t>Subordinate Loan</t>
  </si>
  <si>
    <t>Closing Costs &amp; Fees</t>
  </si>
  <si>
    <t>Prepay &amp; Penalties</t>
  </si>
  <si>
    <t>Other Soft Costs</t>
  </si>
  <si>
    <t>Cost of Sale</t>
  </si>
  <si>
    <t>Hold Period</t>
  </si>
  <si>
    <t>Closing</t>
  </si>
  <si>
    <t>I/O</t>
  </si>
  <si>
    <t>Interest Rate</t>
  </si>
  <si>
    <t>Periods</t>
  </si>
  <si>
    <t>DSCR Value</t>
  </si>
  <si>
    <t>LTV Value</t>
  </si>
  <si>
    <t>Manual</t>
  </si>
  <si>
    <t>Calculated</t>
  </si>
  <si>
    <t>Month</t>
  </si>
  <si>
    <t>Date</t>
  </si>
  <si>
    <t>Period</t>
  </si>
  <si>
    <t>Beg Bal</t>
  </si>
  <si>
    <t>Payment</t>
  </si>
  <si>
    <t>Interest</t>
  </si>
  <si>
    <t>End Bal</t>
  </si>
  <si>
    <t>Int Rate</t>
  </si>
  <si>
    <t>Total</t>
  </si>
  <si>
    <t>Senior Loan - New Financing</t>
  </si>
  <si>
    <t>Senior Loan - Assumed</t>
  </si>
  <si>
    <t>Loan Origination Date</t>
  </si>
  <si>
    <t>Studio</t>
  </si>
  <si>
    <t>1x1</t>
  </si>
  <si>
    <t>2x1</t>
  </si>
  <si>
    <t>3x2</t>
  </si>
  <si>
    <t>4x2</t>
  </si>
  <si>
    <t>Status</t>
  </si>
  <si>
    <t>Rent</t>
  </si>
  <si>
    <t>Capture %</t>
  </si>
  <si>
    <t># Washers</t>
  </si>
  <si>
    <t># Dryers</t>
  </si>
  <si>
    <t>Storage</t>
  </si>
  <si>
    <t>Parking</t>
  </si>
  <si>
    <t>Staffing</t>
  </si>
  <si>
    <t>#</t>
  </si>
  <si>
    <t>Employee #1</t>
  </si>
  <si>
    <t>Employee #2</t>
  </si>
  <si>
    <t>Security</t>
  </si>
  <si>
    <t>1 per 50 units rule.</t>
  </si>
  <si>
    <t>Salary</t>
  </si>
  <si>
    <t>Hourly</t>
  </si>
  <si>
    <t># Hours Per Week</t>
  </si>
  <si>
    <t>Earnings</t>
  </si>
  <si>
    <t>Bonus</t>
  </si>
  <si>
    <t>Payroll Benefits</t>
  </si>
  <si>
    <t>Benefits</t>
  </si>
  <si>
    <t>Tax</t>
  </si>
  <si>
    <t>Repairs</t>
  </si>
  <si>
    <t>HVAC</t>
  </si>
  <si>
    <t>Pool Maintenance</t>
  </si>
  <si>
    <t>Janitorial</t>
  </si>
  <si>
    <t>Interiors Scope of Work</t>
  </si>
  <si>
    <t>Exteriors Scope of Work</t>
  </si>
  <si>
    <t>Item</t>
  </si>
  <si>
    <t>Lighting Package</t>
  </si>
  <si>
    <t>Flooring</t>
  </si>
  <si>
    <t>Hardware</t>
  </si>
  <si>
    <t>Interior Doors</t>
  </si>
  <si>
    <t>Washer/Dryer Installation</t>
  </si>
  <si>
    <t>Unit Interior Contingency</t>
  </si>
  <si>
    <t>Description</t>
  </si>
  <si>
    <t>Model</t>
  </si>
  <si>
    <t>Year 1</t>
  </si>
  <si>
    <t>Year 2</t>
  </si>
  <si>
    <t>Windows</t>
  </si>
  <si>
    <t>Siding</t>
  </si>
  <si>
    <t>Exterior Painting</t>
  </si>
  <si>
    <t>Site/Perimeter Lighting</t>
  </si>
  <si>
    <t>Parking Lot</t>
  </si>
  <si>
    <t>Furnaces</t>
  </si>
  <si>
    <t>Water Heaters</t>
  </si>
  <si>
    <t>Drainage/Swales</t>
  </si>
  <si>
    <t>Laundry Room</t>
  </si>
  <si>
    <t>Exterior/General Contingency</t>
  </si>
  <si>
    <t>Year 3</t>
  </si>
  <si>
    <t>TOTAL</t>
  </si>
  <si>
    <t>Quantity</t>
  </si>
  <si>
    <t>SUBTOTAL</t>
  </si>
  <si>
    <t>HVAC Systems</t>
  </si>
  <si>
    <t>Drywall Repair</t>
  </si>
  <si>
    <t>Other #1</t>
  </si>
  <si>
    <t>Other #2</t>
  </si>
  <si>
    <t>Other #3</t>
  </si>
  <si>
    <t>Market Value</t>
  </si>
  <si>
    <t>Non Ad Valorem Tax</t>
  </si>
  <si>
    <t>Assessed Value</t>
  </si>
  <si>
    <t>Assessed Value Growth</t>
  </si>
  <si>
    <t>Millage Rate</t>
  </si>
  <si>
    <t>Millage Rate Growth</t>
  </si>
  <si>
    <t>Ad Valorem Tax</t>
  </si>
  <si>
    <t>Non Ad Valorem Tax Growth</t>
  </si>
  <si>
    <t>Total Tax</t>
  </si>
  <si>
    <t>Jan</t>
  </si>
  <si>
    <t>Feb</t>
  </si>
  <si>
    <t>March</t>
  </si>
  <si>
    <t>April</t>
  </si>
  <si>
    <t>May</t>
  </si>
  <si>
    <t>June</t>
  </si>
  <si>
    <t>July</t>
  </si>
  <si>
    <t>Aug</t>
  </si>
  <si>
    <t>Sept</t>
  </si>
  <si>
    <t>Oct</t>
  </si>
  <si>
    <t>Nov</t>
  </si>
  <si>
    <t>Dec</t>
  </si>
  <si>
    <t>Current FY</t>
  </si>
  <si>
    <t>Parcel #1</t>
  </si>
  <si>
    <t>Parcel #2</t>
  </si>
  <si>
    <t>Parcel #3</t>
  </si>
  <si>
    <t>Parcel #4</t>
  </si>
  <si>
    <t>Exemptions</t>
  </si>
  <si>
    <t>Net Assessed Value</t>
  </si>
  <si>
    <t>Ad Valorem</t>
  </si>
  <si>
    <t>Millage</t>
  </si>
  <si>
    <t>Non Ad Valorem</t>
  </si>
  <si>
    <t>2017-18</t>
  </si>
  <si>
    <t>2018-19</t>
  </si>
  <si>
    <t>Refinanced</t>
  </si>
  <si>
    <t>Transfer Tax</t>
  </si>
  <si>
    <t>Current</t>
  </si>
  <si>
    <t>Turnover Rate</t>
  </si>
  <si>
    <t># of Units Turned</t>
  </si>
  <si>
    <t>Year Built:</t>
  </si>
  <si>
    <t>Owner:</t>
  </si>
  <si>
    <t>Occupancy:</t>
  </si>
  <si>
    <t>Property (Subject):</t>
  </si>
  <si>
    <t>2x2</t>
  </si>
  <si>
    <t>3x1</t>
  </si>
  <si>
    <t>Base Rent</t>
  </si>
  <si>
    <t>Other Charges</t>
  </si>
  <si>
    <t>F</t>
  </si>
  <si>
    <t>H</t>
  </si>
  <si>
    <t>J</t>
  </si>
  <si>
    <t>N</t>
  </si>
  <si>
    <t>R</t>
  </si>
  <si>
    <t>V</t>
  </si>
  <si>
    <t>Z</t>
  </si>
  <si>
    <t>AB</t>
  </si>
  <si>
    <t>L</t>
  </si>
  <si>
    <t>P</t>
  </si>
  <si>
    <t>T</t>
  </si>
  <si>
    <t>X</t>
  </si>
  <si>
    <t>Comp #</t>
  </si>
  <si>
    <t>Sq Ft</t>
  </si>
  <si>
    <t>Rank</t>
  </si>
  <si>
    <t>Notes</t>
  </si>
  <si>
    <t>Distance from Subject:</t>
  </si>
  <si>
    <t>City, State, Zip:</t>
  </si>
  <si>
    <t>Price Sold:</t>
  </si>
  <si>
    <t>Due Diligence:</t>
  </si>
  <si>
    <t>Close Date:</t>
  </si>
  <si>
    <t>Asking Price:</t>
  </si>
  <si>
    <t>Average:</t>
  </si>
  <si>
    <t>Average P/U:</t>
  </si>
  <si>
    <t>Price Per Unit:</t>
  </si>
  <si>
    <t>Year Sold:</t>
  </si>
  <si>
    <t>Going In Cap Rate</t>
  </si>
  <si>
    <t>Property Summary</t>
  </si>
  <si>
    <t>County:</t>
  </si>
  <si>
    <t>Zip:</t>
  </si>
  <si>
    <t>Seller:</t>
  </si>
  <si>
    <t>Fixed</t>
  </si>
  <si>
    <t>Refi</t>
  </si>
  <si>
    <t>Leveraged Gross IRR</t>
  </si>
  <si>
    <t>Cash Yield</t>
  </si>
  <si>
    <t>Investor Multiple</t>
  </si>
  <si>
    <t>Cash on Outstanding Capital</t>
  </si>
  <si>
    <t>Investor Equity</t>
  </si>
  <si>
    <t>Source #1</t>
  </si>
  <si>
    <t>Source #2</t>
  </si>
  <si>
    <t>Source #3</t>
  </si>
  <si>
    <t>Hard Costs</t>
  </si>
  <si>
    <t>Soft Costs</t>
  </si>
  <si>
    <t>Fees</t>
  </si>
  <si>
    <t>Use #2</t>
  </si>
  <si>
    <t>Financing &amp; Legal</t>
  </si>
  <si>
    <t>Premium #1</t>
  </si>
  <si>
    <t>Construction Cost</t>
  </si>
  <si>
    <t>Percentage Achieved</t>
  </si>
  <si>
    <t>Premiums</t>
  </si>
  <si>
    <t>Premium</t>
  </si>
  <si>
    <t>Return Projections</t>
  </si>
  <si>
    <t>Investor Net IRR</t>
  </si>
  <si>
    <t>Offer Terms</t>
  </si>
  <si>
    <t>Foreword</t>
  </si>
  <si>
    <t>Deal Summary</t>
  </si>
  <si>
    <t>Black font typically indicates Output values.</t>
  </si>
  <si>
    <r>
      <rPr>
        <b/>
        <i/>
        <sz val="10"/>
        <color rgb="FF0000FF"/>
        <rFont val="Arial"/>
        <family val="2"/>
      </rPr>
      <t>Blue</t>
    </r>
    <r>
      <rPr>
        <b/>
        <i/>
        <sz val="10"/>
        <rFont val="Arial"/>
        <family val="2"/>
      </rPr>
      <t xml:space="preserve"> font typically indicates Input values.</t>
    </r>
  </si>
  <si>
    <r>
      <t xml:space="preserve">Green </t>
    </r>
    <r>
      <rPr>
        <b/>
        <i/>
        <sz val="10"/>
        <rFont val="Arial"/>
        <family val="2"/>
      </rPr>
      <t>or</t>
    </r>
    <r>
      <rPr>
        <b/>
        <i/>
        <sz val="10"/>
        <color rgb="FF00B050"/>
        <rFont val="Arial"/>
        <family val="2"/>
      </rPr>
      <t xml:space="preserve"> </t>
    </r>
    <r>
      <rPr>
        <b/>
        <i/>
        <sz val="10"/>
        <color rgb="FFFF0000"/>
        <rFont val="Arial"/>
        <family val="2"/>
      </rPr>
      <t>Red</t>
    </r>
    <r>
      <rPr>
        <b/>
        <i/>
        <sz val="10"/>
        <color rgb="FF00B050"/>
        <rFont val="Arial"/>
        <family val="2"/>
      </rPr>
      <t xml:space="preserve"> </t>
    </r>
    <r>
      <rPr>
        <b/>
        <i/>
        <sz val="10"/>
        <rFont val="Arial"/>
        <family val="2"/>
      </rPr>
      <t>font typically indicates comments, references, etc.</t>
    </r>
  </si>
  <si>
    <r>
      <t xml:space="preserve">These are best practices, but the simplest is </t>
    </r>
    <r>
      <rPr>
        <b/>
        <i/>
        <sz val="10"/>
        <color rgb="FF0000FF"/>
        <rFont val="Arial"/>
        <family val="2"/>
      </rPr>
      <t>Input</t>
    </r>
    <r>
      <rPr>
        <b/>
        <i/>
        <sz val="10"/>
        <rFont val="Arial"/>
        <family val="2"/>
      </rPr>
      <t xml:space="preserve"> and Output values.</t>
    </r>
  </si>
  <si>
    <t>Unit Types</t>
  </si>
  <si>
    <t>3x3</t>
  </si>
  <si>
    <t>4x1</t>
  </si>
  <si>
    <t>4x3</t>
  </si>
  <si>
    <t>4x4</t>
  </si>
  <si>
    <t>Choose</t>
  </si>
  <si>
    <t># Units</t>
  </si>
  <si>
    <t>Avg In Place Rents</t>
  </si>
  <si>
    <t>Projected Rents</t>
  </si>
  <si>
    <t>My Price:</t>
  </si>
  <si>
    <t>### Days</t>
  </si>
  <si>
    <t>Earnest Deposit:</t>
  </si>
  <si>
    <t>Property Info</t>
  </si>
  <si>
    <t>Market Info</t>
  </si>
  <si>
    <t>Risks</t>
  </si>
  <si>
    <t>Financing</t>
  </si>
  <si>
    <t>Write about the deal's overview and strategy.</t>
  </si>
  <si>
    <t>Third Parties</t>
  </si>
  <si>
    <t>What are the important aspects of the property?</t>
  </si>
  <si>
    <t>What are the important aspects of the location and market?</t>
  </si>
  <si>
    <t>What are the key risks and how do you plan to mitigate your downside?</t>
  </si>
  <si>
    <t>How and what financing will you secure? What are the terms?</t>
  </si>
  <si>
    <t>What third parties need to be engaged? What are their costs?</t>
  </si>
  <si>
    <t>Answer these questions as you analyze your deal to make sure your projections are reasonable and feasible. This will help keep you in check as you underwrite.</t>
  </si>
  <si>
    <t>About / Notes</t>
  </si>
  <si>
    <t>Due Diligence Items</t>
  </si>
  <si>
    <t>What documents and items do you need to conduct your research and due diligence? What should you request from the seller?</t>
  </si>
  <si>
    <t>Sources &amp; Uses</t>
  </si>
  <si>
    <t>I/O:</t>
  </si>
  <si>
    <t>Loan Principal:</t>
  </si>
  <si>
    <t>Interest Rate:</t>
  </si>
  <si>
    <t>Senior Financing</t>
  </si>
  <si>
    <t>Amortization (months):</t>
  </si>
  <si>
    <t>Subordinate Financing</t>
  </si>
  <si>
    <t>Refinance</t>
  </si>
  <si>
    <t>Start Date:</t>
  </si>
  <si>
    <t>NOI:</t>
  </si>
  <si>
    <t>Cap Rate:</t>
  </si>
  <si>
    <t>Int Rate:</t>
  </si>
  <si>
    <t>Amort (months):</t>
  </si>
  <si>
    <t>Parking Income</t>
  </si>
  <si>
    <t>Storage Income</t>
  </si>
  <si>
    <t>Effective Gross Income</t>
  </si>
  <si>
    <t>Utilities - Gas &amp; Electricity</t>
  </si>
  <si>
    <t>Utilities - Water &amp; Sewer</t>
  </si>
  <si>
    <t>Repairs &amp; Maintenance</t>
  </si>
  <si>
    <t>Grounds &amp; Landscaping</t>
  </si>
  <si>
    <t>Payroll</t>
  </si>
  <si>
    <t>Professional Services</t>
  </si>
  <si>
    <t>Rent Premium</t>
  </si>
  <si>
    <t>Economic Loss</t>
  </si>
  <si>
    <t>Other Income</t>
  </si>
  <si>
    <t>Total Operating Expenses</t>
  </si>
  <si>
    <t>Exit Cap</t>
  </si>
  <si>
    <t>Replacement Reserves</t>
  </si>
  <si>
    <t>Investor Returns</t>
  </si>
  <si>
    <t>Acquisition Fee:</t>
  </si>
  <si>
    <t>Preferred Return:</t>
  </si>
  <si>
    <t>Asset Management Fee:</t>
  </si>
  <si>
    <t>Property Management Fee:</t>
  </si>
  <si>
    <t>Construction Management Fee:</t>
  </si>
  <si>
    <t>Sponsor Fees &amp; Costs</t>
  </si>
  <si>
    <t>Legal &amp; Accounting:</t>
  </si>
  <si>
    <t>DD / Closing Costs:</t>
  </si>
  <si>
    <t>Sponsor:</t>
  </si>
  <si>
    <t>Capital Event:</t>
  </si>
  <si>
    <t>Cash Yield:</t>
  </si>
  <si>
    <t>Cash on Outstanding Capital:</t>
  </si>
  <si>
    <t>Investor Multiple:</t>
  </si>
  <si>
    <t>Leveraged Gross IRR:</t>
  </si>
  <si>
    <t>Investor Net IRR:</t>
  </si>
  <si>
    <t>Sponsor Profits</t>
  </si>
  <si>
    <t>Fees:</t>
  </si>
  <si>
    <t>Distributions:</t>
  </si>
  <si>
    <t>Total:</t>
  </si>
  <si>
    <t>Due Diligence &amp; Closing Costs</t>
  </si>
  <si>
    <t>Contractor Profit &amp; Overhead</t>
  </si>
  <si>
    <t>Prepay</t>
  </si>
  <si>
    <t>Appliances</t>
  </si>
  <si>
    <t>Cabinets</t>
  </si>
  <si>
    <t>Countertops</t>
  </si>
  <si>
    <t>Water Efficient Upgrades</t>
  </si>
  <si>
    <t>Energy Efficient Upgrades</t>
  </si>
  <si>
    <t>Plumbing</t>
  </si>
  <si>
    <t>Electrical &amp; GFCI</t>
  </si>
  <si>
    <t>Roofing &amp; Gutters</t>
  </si>
  <si>
    <t>Curbs &amp; Sidewalks</t>
  </si>
  <si>
    <t>Landscaping</t>
  </si>
  <si>
    <t>Swimming Pool</t>
  </si>
  <si>
    <t>Electrical &amp; Plumbing</t>
  </si>
  <si>
    <t>Other #4</t>
  </si>
  <si>
    <t>Other #5</t>
  </si>
  <si>
    <t>Paint</t>
  </si>
  <si>
    <t>Sales comps should focus on recent sales within a 1.5-2 mile radius from your subject property. Focus on finding comparisons within the last 12-24 months and properties with similar characteristics (e.g. were they built around the same time period in similar style?) and asset class (i.e. multifamily to multifamily comparisons). As you dive deeper into details during your due diligence you want to hone into more specifics and make adjustments based on perceived differences.</t>
  </si>
  <si>
    <t>Preferred Return</t>
  </si>
  <si>
    <t>Beg Bal:</t>
  </si>
  <si>
    <t>Accrued Pref:</t>
  </si>
  <si>
    <t>Return of Investors' Capital</t>
  </si>
  <si>
    <t>Capital Paydown:</t>
  </si>
  <si>
    <t>End Bal:</t>
  </si>
  <si>
    <t>Excess Cashflow Split</t>
  </si>
  <si>
    <t>Excess CF Split:</t>
  </si>
  <si>
    <t>Investor:</t>
  </si>
  <si>
    <t>Capital Events Split</t>
  </si>
  <si>
    <t>Total Profit Share</t>
  </si>
  <si>
    <t>Investor Pref Due:</t>
  </si>
  <si>
    <t>Investor Pref Paydown:</t>
  </si>
  <si>
    <t>Available Cash Flow:</t>
  </si>
  <si>
    <t>Capital Events:</t>
  </si>
  <si>
    <t>Assumptions</t>
  </si>
  <si>
    <t>Annualized</t>
  </si>
  <si>
    <t>XXXXXX</t>
  </si>
  <si>
    <t>Charge Per</t>
  </si>
  <si>
    <t>Property Manager:</t>
  </si>
  <si>
    <t>Leasing Agent:</t>
  </si>
  <si>
    <t>Maintenance Super:</t>
  </si>
  <si>
    <t>Maintenance Tech:</t>
  </si>
  <si>
    <t>Janitor:</t>
  </si>
  <si>
    <t>Security:</t>
  </si>
  <si>
    <t>Admin:</t>
  </si>
  <si>
    <t>Project</t>
  </si>
  <si>
    <t>Acquisition</t>
  </si>
  <si>
    <t>Underwriting is a process of modeling the financial risks and rewards of investing through research and data-driven assumptions. There is no limit to how granular financial modeling and analysis can be, but remember it's only a calculator and tool to guide decision-making. Every analysis is limited by time and effort, so it's best to be resourceful with meaningful data to build an effective model. More is not always better, and while this may seem daunting to someone unfamiliar with financial modeling, you will be able to break down this seemingly complex system into simpler parts. Once you have a solid understanding of the basic drivers it will become easier to customize and manipulate this model for whatever scenario. This tool is a way for valuating your risk premium to an investment.
One of the harder aspects of financial modeling is justifying your assumptions. The calculator itself can run any projections you make, so it is your inputs that count. There is no need to over complicate, but the important details should be thoroughly considered if they impact your bottom line. Finally, don't attempt to "make the deal work" based on overly optimistic scenarios.
"All complex systems can be broken down into simple machines."</t>
  </si>
  <si>
    <r>
      <t xml:space="preserve">The central controls are in the Dashboard tab, so start there. The model is designed to generally work from left to right with optional Rent Comps and Sales Comps tabs.The </t>
    </r>
    <r>
      <rPr>
        <b/>
        <i/>
        <sz val="10"/>
        <color theme="5" tint="0.39997558519241921"/>
        <rFont val="Arial"/>
        <family val="2"/>
      </rPr>
      <t>orange</t>
    </r>
    <r>
      <rPr>
        <b/>
        <i/>
        <sz val="10"/>
        <color theme="0"/>
        <rFont val="Arial"/>
        <family val="2"/>
      </rPr>
      <t xml:space="preserve"> tabs are supplementary and not necessary for the model.</t>
    </r>
  </si>
  <si>
    <t>Created by TJ Park.</t>
  </si>
  <si>
    <t>$ Turned</t>
  </si>
  <si>
    <t>Times Per Year</t>
  </si>
  <si>
    <t>$ Per Service</t>
  </si>
  <si>
    <t>Jan-Dec</t>
  </si>
  <si>
    <t>How to Use this Model &amp; FAQs</t>
  </si>
  <si>
    <r>
      <t xml:space="preserve">Start with the Dashboard tab and populate information about your deal. The Dashboard is a panel for your major Inputs (blue) and serves as a summary of your deal. Next, input information about the property's rental income with unit types, the number of units, square footage, in-place rents, and your projected rents. Your projected rents should be supported by market research that takes into account your nearby competition. A simple and commonly used deal structure is provided for the Sponsor and Investor with return projections from the Waterfall tab. Sponsor Fees and Costs have some common fees - feel free to hover over some of the terms for my best attempt to explain them. Finally, Sponsor Profits show the total profits from fees and distributions/profit share. The right side of the table has three basic options for senior, subordinate, and refinanced senior loans. Amortization schedules are provided for each in the Amortization tab. Finally, the Sources &amp; Uses table shows the list of capital sources and their uses. Note there is no Sources </t>
    </r>
    <r>
      <rPr>
        <b/>
        <i/>
        <u/>
        <sz val="10"/>
        <color theme="0"/>
        <rFont val="Arial"/>
        <family val="2"/>
      </rPr>
      <t>to</t>
    </r>
    <r>
      <rPr>
        <b/>
        <i/>
        <sz val="10"/>
        <color theme="0"/>
        <rFont val="Arial"/>
        <family val="2"/>
      </rPr>
      <t xml:space="preserve"> Uses, so it does not draw an arrow from one particular source to use.</t>
    </r>
  </si>
  <si>
    <t>The Deal Checklist is for your use only, but it is highly recommended for users of all levels of experience. It helps to have a checklist and form a systematic approach to analyzing deals. Included are key categories and questions to help keep the deal in focus from the underwriting to latter stages of closing, securing financing, completing due diligence, and transitioning into construction and asset management.</t>
  </si>
  <si>
    <t>While the Calculations tab is not necessary, the Outputs link to the Worksheet tab, which is the starting pro forma for the rest of your Cashflow projections. Start with the Worksheet and decide if you want to use the Calculations tab or not. The Worksheet tab should compare the broker's pro forma (if any) as well as the property's current financial performance. Based off these as well as your own research, you should put together each applicable revenue and expense items to reach your year one NOI. Not all line items will be used, but the categories are fairly granular. Often, you may want to "show your work" in the Calculations tab and link to the Worksheet.</t>
  </si>
  <si>
    <t>Your Cashflow tab should show an Assumptions table, which represent the annual growth of each line item. As you scroll down you will see the year one projections from your Worksheet and growing subsequently.</t>
  </si>
  <si>
    <t>The Waterfall tab is where the deal is structured and returns are calculated. At a high level the Sources &amp; Uses summarizes the movement of capital at the initial closing. The acquisition (purchase), closing costs, fees, legal costs, and rehab budgets show as uses of capital. Financing show as sources of capital with a required equity ("down payment") at the bottom.
The property NOI becomes an ongoing source of capital that pays down your loans, fees, and other costs until there is a distributable cash remaining at the bottom. Scroll down and this distributable cash as well as any other inflows of capital from refinancing, sales, etc. flow through the waterfall calculation to show returns to the Sponsor and Investor.</t>
  </si>
  <si>
    <t>The Amortization tab shows four different amortization tabs for financings: new senior, subordinate, assumed loan, and refinancing, which are linked to the Waterfall. It is crucial to understand amortization schedules as they show actual debt payments each period.</t>
  </si>
  <si>
    <t>Your Rehab tab includes a list of scope of work along with how much and when costs are incurred. As value-add rehabilitation is implemented the property's in-place rents should increase towards your projected rents to capture the renovation premium. Be mindful of the timing of rehab costs, which affect the timing of cash flow and the capture of premium increases. This also affects your IRR because it factors in time value of money. The challenge is creating an accurate scope of work and budget, and being able to execute on the rehabilitation process successfully. As a result cost overruns and delays are common challenges.</t>
  </si>
  <si>
    <t>The Rent and Sales Comps tabs are optional, but are there to assist with organizing data to back up projected rents as well as to value the deal at an appropriate price. Rent comps should allow you the project rents at an appropriate level compared to nearby similar properties and sales comps should give an indication of the property's market value.</t>
  </si>
  <si>
    <t>q</t>
  </si>
  <si>
    <t>Terms</t>
  </si>
  <si>
    <t>Investor IRR</t>
  </si>
  <si>
    <t>Leveraged IRR</t>
  </si>
  <si>
    <t>Definition</t>
  </si>
  <si>
    <t>Earnest Deposit</t>
  </si>
  <si>
    <t>Refinancing</t>
  </si>
  <si>
    <t>Market Study</t>
  </si>
  <si>
    <t>Also known as rent comps, typically market surveys consist of competitive analyses of nearby properties and is used to project rents.</t>
  </si>
  <si>
    <t>The "dividend" or annual cash returned based on the original equity invested.</t>
  </si>
  <si>
    <t>The "dividend" or annual cash returned based on the outstanding equity. Theoretically then cash on outstanding capital should be &gt; than cash yield.</t>
  </si>
  <si>
    <t>The preferred return for investors before excess profits are split. This is the investor's "required return" before profits can be split between sponsor and investor.</t>
  </si>
  <si>
    <t>Refinancing is the replacement of one capital structure with another in the debt stack. Simply, a new loan pays off the old and has some excess that pays back the outstanding capital.</t>
  </si>
  <si>
    <t>Typically a refundable amount (residential deals are typically 3% of the purchase price) that is deposited into an escrow account and is credited against the purchase price if and when the deal closes. If a buyer backs out the earnest deposit is returned with interest. However, read the purchase agreement to see when the earnest deposit becomes liquidated damages.</t>
  </si>
  <si>
    <t>The deal IRR including leverage from financing received. Logically this will be higher than the Investor IRR.</t>
  </si>
  <si>
    <t>The IRR for investors net of hurdles and splits, and based on the final distribution for the investor. This is what investors look at for their returns.</t>
  </si>
  <si>
    <t>The assumptions tab shows the year over year growth from the year one pro forma, which flows into the cashflow projection. Despite what a lot of marketing packages say, 3% year over year rent growth is not reasonable. It's important to dig into what the annual growths will be based on historical trends and research. It's better to have well thought out assumptions than lazy trending that makes the deal work. You'll find the cash flow projections grow starting from your budget in the Worksheet tab with the assumptions below.</t>
  </si>
  <si>
    <t>Read Me</t>
  </si>
  <si>
    <t>No</t>
  </si>
  <si>
    <t>Capital Paydown (Excess CF):</t>
  </si>
  <si>
    <t>% Change</t>
  </si>
  <si>
    <t># of Months Vacant</t>
  </si>
  <si>
    <t>% of Units Vacant</t>
  </si>
  <si>
    <t>Below is a list of commonly used terms although you can research all of these online. More terms are defined throughout the model and can be seen by selecting the cell.</t>
  </si>
  <si>
    <t>DSCR</t>
  </si>
  <si>
    <t>Debt Service Coverage Ratio is the NOI over the total annual debt service. This ratio is used to size loans by determining how much debt is covered by the property's cash flow. Lenders look to protect their downside risk since their upside is fixed by the interest they receive by lending the money.</t>
  </si>
  <si>
    <t>Legal Notice</t>
  </si>
  <si>
    <r>
      <t xml:space="preserve">The model is for personal use only. It may not be sold or distributed without the written consent of the Owner (Bryan Chavis Coaching and Consulting, Inc.). Requests for permission or further information should be addressed to:
Bryan Chavis Coaching and Consulting, Inc.
3030 N Rocky Pointe Drive, Tampa, Florida, USA
Phone: (800) 535 2476
Website: https://landlordacademy.com
</t>
    </r>
    <r>
      <rPr>
        <b/>
        <i/>
        <u/>
        <sz val="10"/>
        <color theme="0"/>
        <rFont val="Arial"/>
        <family val="2"/>
      </rPr>
      <t xml:space="preserve">Warranties
</t>
    </r>
    <r>
      <rPr>
        <b/>
        <i/>
        <sz val="10"/>
        <color theme="0"/>
        <rFont val="Arial"/>
        <family val="2"/>
      </rPr>
      <t>THE MODEL AND ITS RELATED MATERIAL ARE PROVIDED "AS IS". THE OWNER AND ITS AFFILIATES DO NOT MAKE ANY WARRANTY OF ANY KIND, EITHER EXPRESSED OR IMPLIED, BY FACT OR LAW. CHAVIS MAKES NO WARRANTY OF FITNESS FOR A PARTICULAR PURPOSE OR WARRANTY OF MERCHANTABILITY FOR THE PRODUCTS.</t>
    </r>
    <r>
      <rPr>
        <b/>
        <i/>
        <u/>
        <sz val="10"/>
        <color theme="0"/>
        <rFont val="Arial"/>
        <family val="2"/>
      </rPr>
      <t xml:space="preserve">
Liability
</t>
    </r>
    <r>
      <rPr>
        <b/>
        <i/>
        <sz val="10"/>
        <color theme="0"/>
        <rFont val="Arial"/>
        <family val="2"/>
      </rPr>
      <t>NONE OF THE OWNER OR ITS AFFILIATES WILL BE LIABLE TO THE USER FOR ANY DAMAGES, MONETARY OR OTHERWISE, DIRECT OR INDIRECT, ARISING FROM THE USE OF THIS MODEL.</t>
    </r>
  </si>
  <si>
    <t>City, ST:</t>
  </si>
  <si>
    <t>Prior Year</t>
  </si>
  <si>
    <t>Investor Return Projections</t>
  </si>
  <si>
    <t>Units with Premium</t>
  </si>
  <si>
    <t>2019-20</t>
  </si>
  <si>
    <r>
      <t xml:space="preserve">Basic deal analysis starts with an evaluation of the financial statements and the rent roll. Financial statements show the property's operating performance over time. A year of financials is commonly referred to as a "T12" statement since the </t>
    </r>
    <r>
      <rPr>
        <b/>
        <sz val="10"/>
        <color theme="1"/>
        <rFont val="Arial"/>
        <family val="2"/>
      </rPr>
      <t>trailing</t>
    </r>
    <r>
      <rPr>
        <sz val="10"/>
        <color theme="1"/>
        <rFont val="Arial"/>
        <family val="2"/>
      </rPr>
      <t xml:space="preserve"> </t>
    </r>
    <r>
      <rPr>
        <b/>
        <sz val="10"/>
        <color theme="1"/>
        <rFont val="Arial"/>
        <family val="2"/>
      </rPr>
      <t>twelve</t>
    </r>
    <r>
      <rPr>
        <sz val="10"/>
        <color theme="1"/>
        <rFont val="Arial"/>
        <family val="2"/>
      </rPr>
      <t xml:space="preserve"> months of financials are included. Track changes in each line item and identify anomalies and the reasons why certain monthly amounts were outliers.
Effective Gross Income ("EGI") - Operating Expenses ("OpEx") = Net Operating Income ("NOI").</t>
    </r>
  </si>
  <si>
    <t>Trailing</t>
  </si>
  <si>
    <t>Per Unit</t>
  </si>
  <si>
    <t>%</t>
  </si>
  <si>
    <t>Breakeven Occupancy</t>
  </si>
  <si>
    <t>Total / Weighted Avg</t>
  </si>
  <si>
    <t>Proj Yr</t>
  </si>
  <si>
    <t>Proj Mth</t>
  </si>
  <si>
    <t>Annual Rents</t>
  </si>
  <si>
    <t>Annual Proj. Rents</t>
  </si>
  <si>
    <t>NOI Margin</t>
  </si>
  <si>
    <t>Sale Price Per Unit</t>
  </si>
  <si>
    <t>Acquisition Price Per Unit</t>
  </si>
  <si>
    <t>Asking Price Cap Rate</t>
  </si>
  <si>
    <t>Our Price Cap Rate</t>
  </si>
  <si>
    <t>Annual Turnover %</t>
  </si>
  <si>
    <t>Annualizing</t>
  </si>
  <si>
    <t># of Move Outs</t>
  </si>
  <si>
    <t>=</t>
  </si>
  <si>
    <t>Value to Annualize</t>
  </si>
  <si>
    <t>From (Date)</t>
  </si>
  <si>
    <t>To (Date)</t>
  </si>
  <si>
    <t>Avg. Effective Rent</t>
  </si>
  <si>
    <t>Annual Rental Income</t>
  </si>
  <si>
    <t>Occupancy</t>
  </si>
  <si>
    <t>Avg. Renewal Increase</t>
  </si>
  <si>
    <t>Avg. Effective Rent of Renewals</t>
  </si>
  <si>
    <t>Avg. Sq. Ft Per Unit</t>
  </si>
  <si>
    <t>Total Rental Sq. Ft.</t>
  </si>
  <si>
    <t>Capitalization/Valuation</t>
  </si>
  <si>
    <t>Cap Rate (%)</t>
  </si>
  <si>
    <t>Closing Percentage/Ratio</t>
  </si>
  <si>
    <t># of Leases</t>
  </si>
  <si>
    <t># of Traffic</t>
  </si>
  <si>
    <t>Advertising Cost per Lease</t>
  </si>
  <si>
    <t>Cost of Ad</t>
  </si>
  <si>
    <t>Advertising Cost per Traffic</t>
  </si>
  <si>
    <t>Economic Occupancy %</t>
  </si>
  <si>
    <t>Total Rent</t>
  </si>
  <si>
    <t>Total Rent Revenue</t>
  </si>
  <si>
    <t>Effective Market Rent</t>
  </si>
  <si>
    <t># of Months in Lease Term</t>
  </si>
  <si>
    <t>Gross Potential Income</t>
  </si>
  <si>
    <t>Occupied Units</t>
  </si>
  <si>
    <t>Vacant Units</t>
  </si>
  <si>
    <t>Lease Rent</t>
  </si>
  <si>
    <t>Total Units</t>
  </si>
  <si>
    <t>Hourly Rate on Annual Basis</t>
  </si>
  <si>
    <t>Hourly Rate</t>
  </si>
  <si>
    <t>Hours</t>
  </si>
  <si>
    <t>Leasing Exposure</t>
  </si>
  <si>
    <t># of Notice Units</t>
  </si>
  <si>
    <t># Preleased Units</t>
  </si>
  <si>
    <t>Month to Month Leased %</t>
  </si>
  <si>
    <t># Month to Month Leases</t>
  </si>
  <si>
    <t>Operating Expenses</t>
  </si>
  <si>
    <t>Operating Expenses Per Unit</t>
  </si>
  <si>
    <t>Operating Expense Ratio</t>
  </si>
  <si>
    <t>Price Per Square Foot</t>
  </si>
  <si>
    <t>Total Sq. Ft.</t>
  </si>
  <si>
    <t>Prorated Rent</t>
  </si>
  <si>
    <t># Days in Month</t>
  </si>
  <si>
    <t># Days Occupied</t>
  </si>
  <si>
    <t>Daily Rate</t>
  </si>
  <si>
    <t>Projected Traffic Required to Meet Leasing Goals</t>
  </si>
  <si>
    <t>Avg. Closing %</t>
  </si>
  <si>
    <t># of Leases Needed</t>
  </si>
  <si>
    <t>Renewal Percentage</t>
  </si>
  <si>
    <t># of Renewed Leases</t>
  </si>
  <si>
    <t># of Expiring Leases</t>
  </si>
  <si>
    <t>Total Leased %</t>
  </si>
  <si>
    <t># Occupied Units</t>
  </si>
  <si>
    <t># Leased, but not Occupied</t>
  </si>
  <si>
    <t>Total Rent Revenue (Net Revenue)</t>
  </si>
  <si>
    <t>Collection Loss</t>
  </si>
  <si>
    <t>Unit Type/Unit Mix %</t>
  </si>
  <si>
    <t># Specific Unit Type (e.g. Studio)</t>
  </si>
  <si>
    <t>Vacancy %</t>
  </si>
  <si>
    <t>Variance %</t>
  </si>
  <si>
    <t>Actual Value</t>
  </si>
  <si>
    <t>Budgeted Value</t>
  </si>
  <si>
    <t>Avg Leased Rent</t>
  </si>
  <si>
    <t># Leased</t>
  </si>
  <si>
    <t>Wtd Avg Rent (Market)</t>
  </si>
  <si>
    <t>Wtd Avg Rent (Leased)</t>
  </si>
  <si>
    <t>Avg Market 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</si>
</sst>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Year&quot;\ 0"/>
    <numFmt numFmtId="167" formatCode="_(* #,##0_);[Red]_(* \(#,##0\);_(* &quot;-&quot;_);_(@_)"/>
    <numFmt numFmtId="168" formatCode="0\ &quot;Year(s)&quot;"/>
    <numFmt numFmtId="169" formatCode="0.0\ &quot;Cycle(s) / Month&quot;"/>
    <numFmt numFmtId="170" formatCode="#,000\ &quot;sq ft&quot;"/>
    <numFmt numFmtId="171" formatCode="&quot;#&quot;0"/>
    <numFmt numFmtId="172" formatCode="&quot;Averages for Year Sold &quot;0&quot;+&quot;"/>
    <numFmt numFmtId="173" formatCode="&quot;Averages for Year Built &quot;0&quot;+&quot;"/>
    <numFmt numFmtId="174" formatCode="0.0\ &quot;mi&quot;"/>
    <numFmt numFmtId="175" formatCode="&quot;Year&quot;\ 0.0"/>
    <numFmt numFmtId="176" formatCode="0.00&quot;X&quot;"/>
    <numFmt numFmtId="177" formatCode="0.00&quot;x&quot;"/>
    <numFmt numFmtId="178" formatCode="&quot;Net IRR: &quot;0.00%"/>
    <numFmt numFmtId="179" formatCode="0.0"/>
    <numFmt numFmtId="180" formatCode="0.0%"/>
    <numFmt numFmtId="181" formatCode="0.000%"/>
    <numFmt numFmtId="182" formatCode="0.0\ &quot;month(s)&quot;"/>
    <numFmt numFmtId="183" formatCode="&quot;Closing&quot;"/>
    <numFmt numFmtId="184" formatCode="&quot;Year&quot;\ 0\ &quot;DSCR&quot;"/>
    <numFmt numFmtId="185" formatCode="_(* #,##0.00_);[Red]_(* \(#,##0.00\);_(* &quot;-&quot;_);_(@_)"/>
    <numFmt numFmtId="186" formatCode="&quot;Month&quot;\ 0"/>
    <numFmt numFmtId="187" formatCode="&quot;Averages for Year Built ≤&quot;0"/>
    <numFmt numFmtId="188" formatCode="_([$$-409]* #,##0_);_([$$-409]* \(#,##0\);_([$$-409]* &quot;-&quot;??_);_(@_)"/>
  </numFmts>
  <fonts count="63">
    <font>
      <sz val="10"/>
      <color theme="1"/>
      <name val="Arial"/>
      <family val="2"/>
    </font>
    <font>
      <sz val="10"/>
      <color theme="1"/>
      <name val="Arial"/>
      <family val="2"/>
    </font>
    <font>
      <b/>
      <sz val="10"/>
      <color theme="1"/>
      <name val="Arial"/>
      <family val="2"/>
    </font>
    <font>
      <sz val="9"/>
      <color indexed="81"/>
      <name val="Tahoma"/>
      <family val="2"/>
    </font>
    <font>
      <b/>
      <sz val="24"/>
      <color theme="1"/>
      <name val="Arial"/>
      <family val="2"/>
    </font>
    <font>
      <sz val="10"/>
      <name val="Arial"/>
      <family val="2"/>
    </font>
    <font>
      <sz val="10"/>
      <color rgb="FF0000FF"/>
      <name val="Arial"/>
      <family val="2"/>
    </font>
    <font>
      <b/>
      <sz val="12"/>
      <name val="Arial"/>
      <family val="2"/>
    </font>
    <font>
      <b/>
      <sz val="10"/>
      <name val="Arial"/>
      <family val="2"/>
    </font>
    <font>
      <b/>
      <sz val="12"/>
      <color theme="1"/>
      <name val="Arial"/>
      <family val="2"/>
    </font>
    <font>
      <i/>
      <sz val="8"/>
      <color theme="0" tint="-0.499984740745262"/>
      <name val="Arial"/>
      <family val="2"/>
    </font>
    <font>
      <sz val="10"/>
      <color theme="0" tint="-0.499984740745262"/>
      <name val="Arial"/>
      <family val="2"/>
    </font>
    <font>
      <b/>
      <sz val="10"/>
      <color rgb="FF0000FF"/>
      <name val="Arial"/>
      <family val="2"/>
    </font>
    <font>
      <b/>
      <u/>
      <sz val="10"/>
      <color theme="1"/>
      <name val="Arial"/>
      <family val="2"/>
    </font>
    <font>
      <b/>
      <sz val="10"/>
      <color theme="0" tint="-0.499984740745262"/>
      <name val="Arial"/>
      <family val="2"/>
    </font>
    <font>
      <b/>
      <sz val="16"/>
      <color theme="1"/>
      <name val="Arial"/>
      <family val="2"/>
    </font>
    <font>
      <i/>
      <sz val="10"/>
      <color theme="0" tint="-0.499984740745262"/>
      <name val="Arial"/>
      <family val="2"/>
    </font>
    <font>
      <b/>
      <sz val="14"/>
      <color theme="1"/>
      <name val="Arial"/>
      <family val="2"/>
    </font>
    <font>
      <b/>
      <i/>
      <sz val="10"/>
      <color theme="0" tint="-0.499984740745262"/>
      <name val="Arial"/>
      <family val="2"/>
    </font>
    <font>
      <b/>
      <sz val="10"/>
      <color theme="0"/>
      <name val="Arial"/>
      <family val="2"/>
    </font>
    <font>
      <sz val="10"/>
      <color theme="0"/>
      <name val="Arial"/>
      <family val="2"/>
    </font>
    <font>
      <b/>
      <sz val="14"/>
      <color theme="0"/>
      <name val="Arial"/>
      <family val="2"/>
    </font>
    <font>
      <i/>
      <sz val="10"/>
      <color theme="1"/>
      <name val="Arial"/>
      <family val="2"/>
    </font>
    <font>
      <b/>
      <sz val="24"/>
      <color theme="0"/>
      <name val="Arial"/>
      <family val="2"/>
    </font>
    <font>
      <sz val="24"/>
      <color theme="0"/>
      <name val="Arial"/>
      <family val="2"/>
    </font>
    <font>
      <b/>
      <sz val="28"/>
      <color theme="0"/>
      <name val="Arial"/>
      <family val="2"/>
    </font>
    <font>
      <b/>
      <i/>
      <u/>
      <sz val="10"/>
      <color theme="0"/>
      <name val="Arial"/>
      <family val="2"/>
    </font>
    <font>
      <sz val="14"/>
      <color theme="1"/>
      <name val="Arial"/>
      <family val="2"/>
    </font>
    <font>
      <b/>
      <i/>
      <sz val="14"/>
      <color theme="0" tint="-0.499984740745262"/>
      <name val="Arial"/>
      <family val="2"/>
    </font>
    <font>
      <b/>
      <sz val="12"/>
      <color rgb="FF0000FF"/>
      <name val="Arial"/>
      <family val="2"/>
    </font>
    <font>
      <b/>
      <u/>
      <sz val="12"/>
      <color theme="1"/>
      <name val="Arial"/>
      <family val="2"/>
    </font>
    <font>
      <b/>
      <sz val="14"/>
      <name val="Arial"/>
      <family val="2"/>
    </font>
    <font>
      <sz val="12"/>
      <color theme="1"/>
      <name val="Arial"/>
      <family val="2"/>
    </font>
    <font>
      <sz val="12"/>
      <color rgb="FF0000FF"/>
      <name val="Arial"/>
      <family val="2"/>
    </font>
    <font>
      <sz val="12"/>
      <color theme="0" tint="-0.499984740745262"/>
      <name val="Arial"/>
      <family val="2"/>
    </font>
    <font>
      <b/>
      <i/>
      <sz val="14"/>
      <color theme="0"/>
      <name val="Arial"/>
      <family val="2"/>
    </font>
    <font>
      <b/>
      <i/>
      <sz val="12"/>
      <color theme="0"/>
      <name val="Arial"/>
      <family val="2"/>
    </font>
    <font>
      <b/>
      <i/>
      <sz val="10"/>
      <color theme="0"/>
      <name val="Arial"/>
      <family val="2"/>
    </font>
    <font>
      <b/>
      <i/>
      <sz val="10"/>
      <color rgb="FF0000FF"/>
      <name val="Arial"/>
      <family val="2"/>
    </font>
    <font>
      <b/>
      <i/>
      <sz val="10"/>
      <name val="Arial"/>
      <family val="2"/>
    </font>
    <font>
      <b/>
      <i/>
      <sz val="10"/>
      <color rgb="FF00B050"/>
      <name val="Arial"/>
      <family val="2"/>
    </font>
    <font>
      <b/>
      <i/>
      <sz val="10"/>
      <color rgb="FFFF0000"/>
      <name val="Arial"/>
      <family val="2"/>
    </font>
    <font>
      <b/>
      <i/>
      <sz val="24"/>
      <color theme="0"/>
      <name val="Arial"/>
      <family val="2"/>
    </font>
    <font>
      <b/>
      <sz val="12"/>
      <color theme="0"/>
      <name val="Arial"/>
      <family val="2"/>
    </font>
    <font>
      <i/>
      <sz val="12"/>
      <color theme="0" tint="-0.499984740745262"/>
      <name val="Arial"/>
      <family val="2"/>
    </font>
    <font>
      <b/>
      <i/>
      <sz val="12"/>
      <color theme="0" tint="-0.499984740745262"/>
      <name val="Arial"/>
      <family val="2"/>
    </font>
    <font>
      <sz val="12"/>
      <name val="Arial"/>
      <family val="2"/>
    </font>
    <font>
      <b/>
      <sz val="14"/>
      <color rgb="FF0000FF"/>
      <name val="Arial"/>
      <family val="2"/>
    </font>
    <font>
      <i/>
      <sz val="12"/>
      <color theme="1"/>
      <name val="Arial"/>
      <family val="2"/>
    </font>
    <font>
      <b/>
      <i/>
      <sz val="12"/>
      <color theme="1"/>
      <name val="Arial"/>
      <family val="2"/>
    </font>
    <font>
      <b/>
      <i/>
      <sz val="14"/>
      <color theme="1"/>
      <name val="Arial"/>
      <family val="2"/>
    </font>
    <font>
      <b/>
      <sz val="16"/>
      <color theme="0"/>
      <name val="Arial"/>
      <family val="2"/>
    </font>
    <font>
      <b/>
      <i/>
      <u/>
      <sz val="16"/>
      <color theme="1"/>
      <name val="Arial"/>
      <family val="2"/>
    </font>
    <font>
      <b/>
      <i/>
      <sz val="12"/>
      <color theme="0" tint="-0.249977111117893"/>
      <name val="Arial"/>
      <family val="2"/>
    </font>
    <font>
      <b/>
      <sz val="20"/>
      <color theme="0"/>
      <name val="Arial"/>
      <family val="2"/>
    </font>
    <font>
      <b/>
      <u/>
      <sz val="14"/>
      <color theme="1"/>
      <name val="Arial"/>
      <family val="2"/>
    </font>
    <font>
      <b/>
      <i/>
      <sz val="10"/>
      <color theme="5" tint="0.39997558519241921"/>
      <name val="Arial"/>
      <family val="2"/>
    </font>
    <font>
      <b/>
      <i/>
      <sz val="10"/>
      <color theme="4" tint="-0.499984740745262"/>
      <name val="Arial"/>
      <family val="2"/>
    </font>
    <font>
      <b/>
      <i/>
      <u/>
      <sz val="10"/>
      <color theme="1"/>
      <name val="Arial"/>
      <family val="2"/>
    </font>
    <font>
      <b/>
      <i/>
      <sz val="16"/>
      <color theme="0"/>
      <name val="Arial"/>
      <family val="2"/>
    </font>
    <font>
      <b/>
      <u/>
      <sz val="10"/>
      <color rgb="FFFF0000"/>
      <name val="Arial"/>
      <family val="2"/>
    </font>
    <font>
      <sz val="10"/>
      <name val="Geneva"/>
    </font>
    <font>
      <sz val="10"/>
      <color theme="0" tint="-0.249977111117893"/>
      <name val="Arial"/>
      <family val="2"/>
    </font>
  </fonts>
  <fills count="12">
    <fill>
      <patternFill patternType="none"/>
    </fill>
    <fill>
      <patternFill patternType="gray125"/>
    </fill>
    <fill>
      <patternFill patternType="solid">
        <fgColor rgb="FFFFFFCC"/>
        <bgColor indexed="64"/>
      </patternFill>
    </fill>
    <fill>
      <patternFill patternType="solid">
        <fgColor theme="0" tint="-0.499984740745262"/>
        <bgColor indexed="64"/>
      </patternFill>
    </fill>
    <fill>
      <patternFill patternType="gray0625">
        <bgColor theme="0" tint="-0.24994659260841701"/>
      </patternFill>
    </fill>
    <fill>
      <patternFill patternType="solid">
        <fgColor theme="4" tint="-0.49998474074526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2"/>
        <bgColor indexed="64"/>
      </patternFill>
    </fill>
    <fill>
      <patternFill patternType="mediumGray"/>
    </fill>
  </fills>
  <borders count="4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right/>
      <top/>
      <bottom style="mediumDashed">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61" fillId="0" borderId="0"/>
    <xf numFmtId="9" fontId="1" fillId="0" borderId="0" applyFont="0" applyFill="0" applyBorder="0" applyAlignment="0" applyProtection="0"/>
  </cellStyleXfs>
  <cellXfs count="580">
    <xf numFmtId="0" fontId="0" fillId="0" borderId="0" xfId="0"/>
    <xf numFmtId="0" fontId="2" fillId="0" borderId="0" xfId="0" applyFont="1"/>
    <xf numFmtId="0" fontId="0" fillId="0" borderId="0" xfId="0" applyFont="1"/>
    <xf numFmtId="0" fontId="0" fillId="0" borderId="0" xfId="0" applyFill="1"/>
    <xf numFmtId="0" fontId="2" fillId="0" borderId="0" xfId="0" applyFont="1" applyAlignment="1">
      <alignment horizontal="center"/>
    </xf>
    <xf numFmtId="165" fontId="0" fillId="0" borderId="0" xfId="2" applyNumberFormat="1" applyFont="1"/>
    <xf numFmtId="165" fontId="2" fillId="0" borderId="8" xfId="2" applyNumberFormat="1" applyFont="1" applyBorder="1"/>
    <xf numFmtId="0" fontId="9" fillId="0" borderId="0" xfId="0" applyFont="1"/>
    <xf numFmtId="165" fontId="0" fillId="0" borderId="0" xfId="2" applyNumberFormat="1" applyFont="1" applyBorder="1"/>
    <xf numFmtId="10" fontId="6" fillId="0" borderId="0" xfId="0" applyNumberFormat="1" applyFont="1" applyAlignment="1">
      <alignment horizontal="center"/>
    </xf>
    <xf numFmtId="10" fontId="0" fillId="0" borderId="0" xfId="0" applyNumberFormat="1" applyAlignment="1">
      <alignment horizontal="center"/>
    </xf>
    <xf numFmtId="10" fontId="0" fillId="0" borderId="0" xfId="0" applyNumberFormat="1"/>
    <xf numFmtId="10" fontId="6" fillId="3" borderId="0" xfId="0" applyNumberFormat="1" applyFont="1" applyFill="1" applyAlignment="1">
      <alignment horizontal="center"/>
    </xf>
    <xf numFmtId="0" fontId="13" fillId="0" borderId="0" xfId="0" applyFont="1"/>
    <xf numFmtId="0" fontId="0" fillId="0" borderId="0" xfId="0" applyAlignment="1">
      <alignment horizontal="center"/>
    </xf>
    <xf numFmtId="9" fontId="6" fillId="0" borderId="0" xfId="0" applyNumberFormat="1" applyFont="1" applyAlignment="1">
      <alignment horizontal="center"/>
    </xf>
    <xf numFmtId="166" fontId="0" fillId="0" borderId="0" xfId="0" applyNumberFormat="1" applyAlignment="1">
      <alignment horizontal="center"/>
    </xf>
    <xf numFmtId="0" fontId="0" fillId="0" borderId="0" xfId="0" applyNumberFormat="1" applyAlignment="1">
      <alignment horizontal="center"/>
    </xf>
    <xf numFmtId="14" fontId="0" fillId="0" borderId="0" xfId="0" applyNumberFormat="1" applyAlignment="1">
      <alignment horizontal="center"/>
    </xf>
    <xf numFmtId="14" fontId="6" fillId="0" borderId="0" xfId="0" applyNumberFormat="1" applyFont="1" applyAlignment="1">
      <alignment horizontal="center"/>
    </xf>
    <xf numFmtId="0" fontId="6" fillId="0" borderId="0" xfId="0" applyFont="1" applyAlignment="1">
      <alignment horizontal="center"/>
    </xf>
    <xf numFmtId="168" fontId="6" fillId="0" borderId="0" xfId="0" applyNumberFormat="1" applyFont="1" applyAlignment="1">
      <alignment horizontal="center"/>
    </xf>
    <xf numFmtId="165" fontId="2" fillId="0" borderId="0" xfId="2" applyNumberFormat="1" applyFont="1" applyBorder="1"/>
    <xf numFmtId="10" fontId="11" fillId="0" borderId="0" xfId="0" applyNumberFormat="1" applyFont="1" applyAlignment="1">
      <alignment horizontal="center"/>
    </xf>
    <xf numFmtId="168" fontId="11" fillId="0" borderId="0" xfId="0" applyNumberFormat="1" applyFont="1" applyAlignment="1">
      <alignment horizontal="center"/>
    </xf>
    <xf numFmtId="0" fontId="2" fillId="0" borderId="5" xfId="0" applyFont="1" applyBorder="1" applyAlignment="1">
      <alignment horizontal="center"/>
    </xf>
    <xf numFmtId="10" fontId="5" fillId="0" borderId="0" xfId="0" applyNumberFormat="1" applyFont="1" applyAlignment="1">
      <alignment horizontal="center"/>
    </xf>
    <xf numFmtId="6" fontId="0" fillId="0" borderId="0" xfId="0" applyNumberFormat="1" applyAlignment="1">
      <alignment horizontal="center"/>
    </xf>
    <xf numFmtId="165" fontId="11" fillId="0" borderId="0" xfId="2" applyNumberFormat="1" applyFont="1"/>
    <xf numFmtId="165" fontId="11" fillId="0" borderId="0" xfId="2" applyNumberFormat="1" applyFont="1" applyBorder="1"/>
    <xf numFmtId="165" fontId="14" fillId="0" borderId="0" xfId="2" applyNumberFormat="1" applyFont="1"/>
    <xf numFmtId="165" fontId="12" fillId="0" borderId="0" xfId="2" applyNumberFormat="1" applyFont="1"/>
    <xf numFmtId="0" fontId="0" fillId="0" borderId="0" xfId="0" applyAlignment="1">
      <alignment horizontal="left" indent="1"/>
    </xf>
    <xf numFmtId="6" fontId="5" fillId="0" borderId="0" xfId="0" applyNumberFormat="1" applyFont="1" applyAlignment="1">
      <alignment horizontal="center"/>
    </xf>
    <xf numFmtId="6" fontId="2" fillId="0" borderId="5" xfId="0" applyNumberFormat="1" applyFont="1" applyBorder="1" applyAlignment="1">
      <alignment horizontal="center"/>
    </xf>
    <xf numFmtId="165" fontId="2" fillId="0" borderId="5" xfId="2" applyNumberFormat="1" applyFont="1" applyBorder="1"/>
    <xf numFmtId="0" fontId="2" fillId="0" borderId="0" xfId="0" applyFont="1" applyAlignment="1">
      <alignment horizontal="left"/>
    </xf>
    <xf numFmtId="6" fontId="2" fillId="0" borderId="9" xfId="0" applyNumberFormat="1" applyFont="1" applyBorder="1" applyAlignment="1">
      <alignment horizontal="center"/>
    </xf>
    <xf numFmtId="6" fontId="10" fillId="0" borderId="0" xfId="0" applyNumberFormat="1" applyFont="1" applyAlignment="1">
      <alignment horizontal="center"/>
    </xf>
    <xf numFmtId="6" fontId="16" fillId="0" borderId="0" xfId="0" applyNumberFormat="1" applyFont="1" applyAlignment="1">
      <alignment horizontal="center"/>
    </xf>
    <xf numFmtId="10" fontId="11" fillId="0" borderId="0" xfId="0" applyNumberFormat="1" applyFont="1"/>
    <xf numFmtId="10" fontId="10" fillId="0" borderId="0" xfId="0" applyNumberFormat="1" applyFont="1" applyAlignment="1">
      <alignment horizontal="center"/>
    </xf>
    <xf numFmtId="10" fontId="11" fillId="3" borderId="0" xfId="0" applyNumberFormat="1" applyFont="1" applyFill="1" applyAlignment="1">
      <alignment horizontal="center"/>
    </xf>
    <xf numFmtId="0" fontId="17" fillId="0" borderId="0" xfId="0" applyFont="1"/>
    <xf numFmtId="0" fontId="13" fillId="0" borderId="0" xfId="0" applyFont="1" applyAlignment="1">
      <alignment horizontal="center"/>
    </xf>
    <xf numFmtId="6" fontId="0" fillId="0" borderId="5" xfId="0" applyNumberFormat="1" applyBorder="1" applyAlignment="1">
      <alignment horizontal="center"/>
    </xf>
    <xf numFmtId="0" fontId="2" fillId="0" borderId="10" xfId="0" applyFont="1" applyBorder="1" applyAlignment="1">
      <alignment horizontal="center"/>
    </xf>
    <xf numFmtId="6" fontId="2" fillId="0" borderId="10" xfId="0" applyNumberFormat="1" applyFont="1"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6" fontId="0" fillId="0" borderId="0" xfId="0" applyNumberFormat="1" applyBorder="1" applyAlignment="1">
      <alignment horizontal="center"/>
    </xf>
    <xf numFmtId="6" fontId="2" fillId="0" borderId="0" xfId="0" applyNumberFormat="1" applyFont="1" applyBorder="1" applyAlignment="1">
      <alignment horizontal="center"/>
    </xf>
    <xf numFmtId="0" fontId="0" fillId="0" borderId="0" xfId="0" applyAlignment="1">
      <alignment horizontal="left"/>
    </xf>
    <xf numFmtId="0" fontId="11" fillId="0" borderId="0" xfId="0" applyFont="1" applyAlignment="1">
      <alignment horizontal="center"/>
    </xf>
    <xf numFmtId="0" fontId="15" fillId="0" borderId="0" xfId="0" applyFont="1" applyAlignment="1">
      <alignment horizontal="center"/>
    </xf>
    <xf numFmtId="166" fontId="2" fillId="0" borderId="0" xfId="0" applyNumberFormat="1" applyFont="1" applyBorder="1" applyAlignment="1">
      <alignment horizontal="center"/>
    </xf>
    <xf numFmtId="0" fontId="0" fillId="0" borderId="0" xfId="0" applyBorder="1"/>
    <xf numFmtId="9" fontId="0" fillId="0" borderId="0" xfId="0" applyNumberFormat="1" applyBorder="1"/>
    <xf numFmtId="6" fontId="0" fillId="0" borderId="10" xfId="0" applyNumberFormat="1" applyBorder="1" applyAlignment="1">
      <alignment horizontal="center"/>
    </xf>
    <xf numFmtId="0" fontId="4" fillId="0" borderId="0" xfId="0" applyFont="1" applyAlignment="1">
      <alignment horizontal="center"/>
    </xf>
    <xf numFmtId="0" fontId="2" fillId="0" borderId="0" xfId="0" applyFont="1" applyAlignment="1">
      <alignment horizontal="center"/>
    </xf>
    <xf numFmtId="164" fontId="0" fillId="0" borderId="0" xfId="1" applyNumberFormat="1" applyFont="1" applyAlignment="1">
      <alignment horizontal="center"/>
    </xf>
    <xf numFmtId="164" fontId="0" fillId="2" borderId="0" xfId="1" applyNumberFormat="1" applyFont="1" applyFill="1" applyAlignment="1">
      <alignment horizontal="center"/>
    </xf>
    <xf numFmtId="170" fontId="0" fillId="2" borderId="0" xfId="1" applyNumberFormat="1" applyFont="1" applyFill="1" applyAlignment="1">
      <alignment horizontal="center"/>
    </xf>
    <xf numFmtId="0" fontId="0" fillId="0" borderId="0" xfId="0" applyNumberFormat="1"/>
    <xf numFmtId="0" fontId="22" fillId="0" borderId="0" xfId="0" applyFont="1"/>
    <xf numFmtId="0" fontId="0" fillId="0" borderId="0" xfId="0" applyProtection="1">
      <protection locked="0"/>
    </xf>
    <xf numFmtId="6" fontId="0" fillId="0" borderId="0" xfId="0" applyNumberFormat="1" applyAlignment="1" applyProtection="1">
      <alignment horizontal="center"/>
      <protection locked="0"/>
    </xf>
    <xf numFmtId="170" fontId="0" fillId="0" borderId="0" xfId="1" applyNumberFormat="1" applyFont="1" applyFill="1" applyAlignment="1" applyProtection="1">
      <alignment horizontal="center"/>
      <protection locked="0"/>
    </xf>
    <xf numFmtId="6" fontId="0" fillId="0" borderId="0" xfId="0" applyNumberFormat="1"/>
    <xf numFmtId="172" fontId="6" fillId="0" borderId="0" xfId="0" applyNumberFormat="1" applyFont="1" applyAlignment="1">
      <alignment horizontal="left"/>
    </xf>
    <xf numFmtId="173" fontId="6" fillId="0" borderId="0" xfId="0" applyNumberFormat="1" applyFont="1" applyAlignment="1">
      <alignment horizontal="left"/>
    </xf>
    <xf numFmtId="6" fontId="0" fillId="0" borderId="4" xfId="0" applyNumberFormat="1" applyBorder="1" applyAlignment="1">
      <alignment horizontal="center"/>
    </xf>
    <xf numFmtId="0" fontId="0" fillId="5" borderId="0" xfId="0" applyFill="1"/>
    <xf numFmtId="0" fontId="23" fillId="5" borderId="0" xfId="0" applyFont="1" applyFill="1"/>
    <xf numFmtId="0" fontId="23" fillId="5" borderId="0" xfId="0" applyFont="1" applyFill="1" applyAlignment="1"/>
    <xf numFmtId="0" fontId="24" fillId="5" borderId="0" xfId="0" applyFont="1" applyFill="1" applyAlignment="1"/>
    <xf numFmtId="0" fontId="20" fillId="5" borderId="0" xfId="0" applyFont="1" applyFill="1"/>
    <xf numFmtId="171" fontId="26" fillId="5" borderId="0" xfId="0" applyNumberFormat="1" applyFont="1" applyFill="1" applyAlignment="1">
      <alignment horizontal="center"/>
    </xf>
    <xf numFmtId="0" fontId="20" fillId="5" borderId="0" xfId="0" applyFont="1" applyFill="1" applyAlignment="1"/>
    <xf numFmtId="0" fontId="9" fillId="0" borderId="0" xfId="0" applyFont="1" applyAlignment="1">
      <alignment horizontal="center"/>
    </xf>
    <xf numFmtId="0" fontId="17" fillId="0" borderId="0" xfId="0" applyFont="1" applyAlignment="1">
      <alignment horizontal="center"/>
    </xf>
    <xf numFmtId="0" fontId="11" fillId="0" borderId="0" xfId="0" applyFont="1"/>
    <xf numFmtId="10" fontId="10" fillId="0" borderId="0" xfId="2" applyNumberFormat="1" applyFont="1" applyAlignment="1">
      <alignment horizontal="center"/>
    </xf>
    <xf numFmtId="166" fontId="15" fillId="0" borderId="0" xfId="0" applyNumberFormat="1" applyFont="1" applyAlignment="1">
      <alignment horizontal="center"/>
    </xf>
    <xf numFmtId="0" fontId="13" fillId="0" borderId="0" xfId="0" applyFont="1" applyAlignment="1">
      <alignment horizontal="center"/>
    </xf>
    <xf numFmtId="0" fontId="0" fillId="2" borderId="0" xfId="0" applyFill="1" applyAlignment="1">
      <alignment horizontal="center"/>
    </xf>
    <xf numFmtId="6" fontId="0" fillId="2" borderId="0" xfId="0" applyNumberFormat="1" applyFill="1" applyAlignment="1">
      <alignment horizontal="center"/>
    </xf>
    <xf numFmtId="0" fontId="0" fillId="2" borderId="0" xfId="0" applyNumberFormat="1" applyFill="1" applyAlignment="1">
      <alignment horizontal="center"/>
    </xf>
    <xf numFmtId="174" fontId="0" fillId="2" borderId="0" xfId="0" applyNumberFormat="1" applyFill="1" applyAlignment="1">
      <alignment horizontal="center"/>
    </xf>
    <xf numFmtId="164" fontId="12" fillId="0" borderId="0" xfId="1" applyNumberFormat="1" applyFont="1"/>
    <xf numFmtId="0" fontId="0" fillId="0" borderId="15" xfId="0" applyBorder="1"/>
    <xf numFmtId="0" fontId="0" fillId="0" borderId="3" xfId="0" applyBorder="1"/>
    <xf numFmtId="166" fontId="0" fillId="0" borderId="0" xfId="0" applyNumberFormat="1" applyAlignment="1"/>
    <xf numFmtId="166" fontId="27" fillId="0" borderId="14" xfId="0" applyNumberFormat="1" applyFont="1" applyBorder="1" applyAlignment="1">
      <alignment horizontal="center"/>
    </xf>
    <xf numFmtId="0" fontId="17" fillId="0" borderId="15" xfId="0" applyNumberFormat="1" applyFont="1" applyBorder="1" applyAlignment="1">
      <alignment horizontal="center"/>
    </xf>
    <xf numFmtId="0" fontId="9" fillId="0" borderId="14" xfId="0" applyFont="1" applyBorder="1" applyAlignment="1">
      <alignment horizontal="center"/>
    </xf>
    <xf numFmtId="167" fontId="0" fillId="0" borderId="0" xfId="2" applyNumberFormat="1" applyFont="1" applyFill="1" applyBorder="1"/>
    <xf numFmtId="0" fontId="0" fillId="5" borderId="0" xfId="0" applyFill="1" applyBorder="1"/>
    <xf numFmtId="0" fontId="0" fillId="5" borderId="22" xfId="0" applyFill="1" applyBorder="1"/>
    <xf numFmtId="10" fontId="6" fillId="0" borderId="0" xfId="0" applyNumberFormat="1" applyFont="1" applyFill="1" applyBorder="1" applyAlignment="1">
      <alignment horizontal="center"/>
    </xf>
    <xf numFmtId="0" fontId="0" fillId="0" borderId="0" xfId="0" applyFill="1" applyBorder="1"/>
    <xf numFmtId="167" fontId="0" fillId="0" borderId="0" xfId="0" applyNumberFormat="1" applyFill="1" applyBorder="1"/>
    <xf numFmtId="0" fontId="32" fillId="0" borderId="0" xfId="0" applyFont="1"/>
    <xf numFmtId="167" fontId="32" fillId="0" borderId="0" xfId="0" applyNumberFormat="1" applyFont="1" applyBorder="1"/>
    <xf numFmtId="10" fontId="32" fillId="0" borderId="0" xfId="2" applyNumberFormat="1" applyFont="1" applyAlignment="1">
      <alignment horizontal="center"/>
    </xf>
    <xf numFmtId="165" fontId="32" fillId="0" borderId="0" xfId="2" applyNumberFormat="1" applyFont="1" applyAlignment="1">
      <alignment horizontal="center"/>
    </xf>
    <xf numFmtId="165" fontId="32" fillId="0" borderId="0" xfId="2" applyNumberFormat="1" applyFont="1"/>
    <xf numFmtId="167" fontId="31" fillId="7" borderId="8" xfId="0" applyNumberFormat="1" applyFont="1" applyFill="1" applyBorder="1" applyAlignment="1">
      <alignment horizontal="center" shrinkToFit="1"/>
    </xf>
    <xf numFmtId="10" fontId="0" fillId="0" borderId="0" xfId="0" applyNumberFormat="1" applyAlignment="1">
      <alignment horizontal="center" shrinkToFit="1"/>
    </xf>
    <xf numFmtId="165" fontId="0" fillId="0" borderId="0" xfId="2" applyNumberFormat="1" applyFont="1" applyAlignment="1">
      <alignment shrinkToFit="1"/>
    </xf>
    <xf numFmtId="10" fontId="12" fillId="0" borderId="0" xfId="0" applyNumberFormat="1" applyFont="1" applyAlignment="1">
      <alignment horizontal="center"/>
    </xf>
    <xf numFmtId="0" fontId="25" fillId="5" borderId="1" xfId="0" applyFont="1" applyFill="1" applyBorder="1"/>
    <xf numFmtId="0" fontId="20" fillId="5" borderId="2" xfId="0" applyFont="1" applyFill="1" applyBorder="1"/>
    <xf numFmtId="0" fontId="0" fillId="5" borderId="14" xfId="0" applyFill="1" applyBorder="1"/>
    <xf numFmtId="0" fontId="0" fillId="5" borderId="3" xfId="0" applyFill="1" applyBorder="1"/>
    <xf numFmtId="0" fontId="2" fillId="5" borderId="0" xfId="0" applyFont="1" applyFill="1" applyBorder="1" applyAlignment="1">
      <alignment horizontal="center"/>
    </xf>
    <xf numFmtId="166" fontId="0" fillId="5" borderId="15" xfId="0" applyNumberFormat="1" applyFill="1" applyBorder="1" applyAlignment="1">
      <alignment horizontal="center"/>
    </xf>
    <xf numFmtId="164" fontId="18" fillId="5" borderId="0" xfId="2" applyNumberFormat="1" applyFont="1" applyFill="1" applyBorder="1" applyAlignment="1">
      <alignment horizontal="center"/>
    </xf>
    <xf numFmtId="164" fontId="28" fillId="5" borderId="0" xfId="2" applyNumberFormat="1" applyFont="1" applyFill="1" applyBorder="1" applyAlignment="1">
      <alignment horizontal="center"/>
    </xf>
    <xf numFmtId="0" fontId="0" fillId="5" borderId="15" xfId="0" applyFill="1" applyBorder="1" applyAlignment="1">
      <alignment horizontal="center"/>
    </xf>
    <xf numFmtId="0" fontId="13" fillId="5" borderId="0" xfId="0" applyFont="1" applyFill="1" applyBorder="1"/>
    <xf numFmtId="0" fontId="0" fillId="5" borderId="15" xfId="0" applyFill="1" applyBorder="1"/>
    <xf numFmtId="0" fontId="0" fillId="5" borderId="6" xfId="0" applyFill="1" applyBorder="1"/>
    <xf numFmtId="0" fontId="0" fillId="5" borderId="7" xfId="0" applyFill="1" applyBorder="1"/>
    <xf numFmtId="167" fontId="0" fillId="5" borderId="7" xfId="2" applyNumberFormat="1" applyFont="1" applyFill="1" applyBorder="1"/>
    <xf numFmtId="167" fontId="0" fillId="5" borderId="7" xfId="0" applyNumberFormat="1" applyFill="1" applyBorder="1"/>
    <xf numFmtId="0" fontId="0" fillId="5" borderId="16" xfId="0" applyFill="1" applyBorder="1"/>
    <xf numFmtId="167" fontId="32" fillId="0" borderId="2" xfId="0" applyNumberFormat="1" applyFont="1" applyBorder="1" applyAlignment="1">
      <alignment shrinkToFit="1"/>
    </xf>
    <xf numFmtId="167" fontId="32" fillId="0" borderId="14" xfId="0" applyNumberFormat="1" applyFont="1" applyBorder="1" applyAlignment="1">
      <alignment shrinkToFit="1"/>
    </xf>
    <xf numFmtId="167" fontId="32" fillId="0" borderId="3" xfId="0" applyNumberFormat="1" applyFont="1" applyBorder="1"/>
    <xf numFmtId="167" fontId="32" fillId="0" borderId="15" xfId="0" applyNumberFormat="1" applyFont="1" applyBorder="1"/>
    <xf numFmtId="167" fontId="32" fillId="8" borderId="3" xfId="0" applyNumberFormat="1" applyFont="1" applyFill="1" applyBorder="1"/>
    <xf numFmtId="167" fontId="32" fillId="8" borderId="15" xfId="0" applyNumberFormat="1" applyFont="1" applyFill="1" applyBorder="1"/>
    <xf numFmtId="167" fontId="34" fillId="0" borderId="6" xfId="0" applyNumberFormat="1" applyFont="1" applyBorder="1"/>
    <xf numFmtId="167" fontId="34" fillId="0" borderId="7" xfId="0" applyNumberFormat="1" applyFont="1" applyBorder="1"/>
    <xf numFmtId="167" fontId="34" fillId="0" borderId="16" xfId="0" applyNumberFormat="1" applyFont="1" applyBorder="1"/>
    <xf numFmtId="0" fontId="0" fillId="5" borderId="2" xfId="0" applyFill="1" applyBorder="1"/>
    <xf numFmtId="166" fontId="35" fillId="5" borderId="2" xfId="0" applyNumberFormat="1" applyFont="1" applyFill="1" applyBorder="1" applyAlignment="1">
      <alignment horizontal="center"/>
    </xf>
    <xf numFmtId="0" fontId="35" fillId="5" borderId="0" xfId="0" applyFont="1" applyFill="1" applyBorder="1" applyAlignment="1">
      <alignment horizontal="center"/>
    </xf>
    <xf numFmtId="166" fontId="36" fillId="5" borderId="0" xfId="0" applyNumberFormat="1" applyFont="1" applyFill="1" applyBorder="1" applyAlignment="1">
      <alignment horizontal="center"/>
    </xf>
    <xf numFmtId="0" fontId="32" fillId="0" borderId="0" xfId="0" applyFont="1" applyBorder="1" applyAlignment="1">
      <alignment horizontal="right"/>
    </xf>
    <xf numFmtId="0" fontId="32" fillId="0" borderId="0" xfId="0" applyFont="1" applyBorder="1"/>
    <xf numFmtId="0" fontId="32" fillId="5" borderId="0" xfId="0" applyFont="1" applyFill="1" applyBorder="1"/>
    <xf numFmtId="0" fontId="32" fillId="0" borderId="0" xfId="0" applyFont="1" applyBorder="1" applyAlignment="1">
      <alignment horizontal="right" wrapText="1"/>
    </xf>
    <xf numFmtId="0" fontId="32" fillId="5" borderId="7" xfId="0" applyFont="1" applyFill="1" applyBorder="1"/>
    <xf numFmtId="0" fontId="13" fillId="0" borderId="0" xfId="0" applyFont="1" applyAlignment="1">
      <alignment horizontal="center"/>
    </xf>
    <xf numFmtId="0" fontId="0" fillId="0" borderId="0" xfId="0" applyAlignment="1">
      <alignment vertical="top" wrapText="1"/>
    </xf>
    <xf numFmtId="0" fontId="0" fillId="0" borderId="6" xfId="0" applyBorder="1"/>
    <xf numFmtId="0" fontId="0" fillId="0" borderId="3" xfId="0" applyFont="1" applyBorder="1"/>
    <xf numFmtId="0" fontId="0" fillId="0" borderId="0" xfId="0" applyAlignment="1">
      <alignment vertical="top"/>
    </xf>
    <xf numFmtId="0" fontId="0" fillId="0" borderId="0" xfId="0" applyAlignment="1"/>
    <xf numFmtId="0" fontId="0" fillId="0" borderId="0" xfId="0" applyAlignment="1">
      <alignment horizontal="left" vertical="top"/>
    </xf>
    <xf numFmtId="0" fontId="19" fillId="5" borderId="1" xfId="0" applyFont="1" applyFill="1" applyBorder="1" applyAlignment="1">
      <alignment vertical="top"/>
    </xf>
    <xf numFmtId="0" fontId="0" fillId="5" borderId="2" xfId="0" applyFill="1" applyBorder="1" applyAlignment="1">
      <alignment vertical="top"/>
    </xf>
    <xf numFmtId="0" fontId="0" fillId="5" borderId="2" xfId="0" applyFill="1" applyBorder="1" applyAlignment="1">
      <alignment vertical="top" wrapText="1"/>
    </xf>
    <xf numFmtId="0" fontId="0" fillId="5" borderId="14" xfId="0" applyFill="1" applyBorder="1" applyAlignment="1">
      <alignment vertical="top" wrapText="1"/>
    </xf>
    <xf numFmtId="0" fontId="0" fillId="0" borderId="3"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7" xfId="0" applyBorder="1"/>
    <xf numFmtId="0" fontId="0" fillId="0" borderId="7" xfId="0" applyFill="1" applyBorder="1"/>
    <xf numFmtId="10" fontId="0" fillId="0" borderId="0" xfId="0" applyNumberFormat="1" applyBorder="1"/>
    <xf numFmtId="0" fontId="23" fillId="0" borderId="0" xfId="0" applyFont="1" applyFill="1"/>
    <xf numFmtId="0" fontId="20" fillId="0" borderId="0" xfId="0" applyFont="1" applyFill="1"/>
    <xf numFmtId="166" fontId="7" fillId="0" borderId="0" xfId="0" applyNumberFormat="1" applyFont="1" applyAlignment="1">
      <alignment horizontal="center"/>
    </xf>
    <xf numFmtId="10" fontId="12" fillId="0" borderId="7" xfId="0" applyNumberFormat="1" applyFont="1" applyBorder="1" applyAlignment="1">
      <alignment horizontal="center"/>
    </xf>
    <xf numFmtId="10" fontId="11" fillId="0" borderId="7" xfId="0" applyNumberFormat="1" applyFont="1" applyBorder="1" applyAlignment="1">
      <alignment horizontal="center"/>
    </xf>
    <xf numFmtId="10" fontId="12" fillId="0" borderId="0" xfId="0" applyNumberFormat="1" applyFont="1" applyBorder="1" applyAlignment="1">
      <alignment horizontal="center"/>
    </xf>
    <xf numFmtId="10" fontId="11" fillId="0" borderId="0" xfId="0" applyNumberFormat="1" applyFont="1" applyBorder="1" applyAlignment="1">
      <alignment horizontal="center"/>
    </xf>
    <xf numFmtId="0" fontId="0" fillId="0" borderId="2" xfId="0" applyBorder="1"/>
    <xf numFmtId="10" fontId="12" fillId="0" borderId="2" xfId="0" applyNumberFormat="1" applyFont="1" applyBorder="1" applyAlignment="1">
      <alignment horizontal="center"/>
    </xf>
    <xf numFmtId="10" fontId="11" fillId="0" borderId="2" xfId="0" applyNumberFormat="1" applyFont="1" applyBorder="1" applyAlignment="1">
      <alignment horizontal="center"/>
    </xf>
    <xf numFmtId="14" fontId="10" fillId="0" borderId="0" xfId="0" applyNumberFormat="1" applyFont="1" applyAlignment="1">
      <alignment horizontal="center"/>
    </xf>
    <xf numFmtId="0" fontId="37" fillId="0" borderId="0" xfId="0" applyFont="1" applyFill="1" applyAlignment="1">
      <alignment horizontal="right"/>
    </xf>
    <xf numFmtId="0" fontId="2" fillId="0" borderId="0" xfId="0" applyFont="1" applyBorder="1"/>
    <xf numFmtId="0" fontId="2" fillId="0" borderId="2" xfId="0" applyFont="1" applyBorder="1"/>
    <xf numFmtId="165" fontId="8" fillId="0" borderId="2" xfId="2" applyNumberFormat="1" applyFont="1" applyBorder="1" applyAlignment="1">
      <alignment horizontal="center"/>
    </xf>
    <xf numFmtId="165" fontId="0" fillId="0" borderId="7" xfId="2" applyNumberFormat="1" applyFont="1" applyBorder="1"/>
    <xf numFmtId="0" fontId="2" fillId="5" borderId="0" xfId="0" applyFont="1" applyFill="1"/>
    <xf numFmtId="165" fontId="5" fillId="0" borderId="2" xfId="2" applyNumberFormat="1" applyFont="1" applyBorder="1" applyAlignment="1">
      <alignment horizontal="center"/>
    </xf>
    <xf numFmtId="0" fontId="2" fillId="0" borderId="0" xfId="0" applyFont="1" applyFill="1"/>
    <xf numFmtId="10" fontId="11" fillId="0" borderId="0" xfId="2" applyNumberFormat="1" applyFont="1" applyAlignment="1">
      <alignment horizontal="center"/>
    </xf>
    <xf numFmtId="165" fontId="5" fillId="0" borderId="0" xfId="2" applyNumberFormat="1" applyFont="1" applyAlignment="1">
      <alignment horizontal="center"/>
    </xf>
    <xf numFmtId="165" fontId="8" fillId="0" borderId="0" xfId="2" applyNumberFormat="1" applyFont="1" applyAlignment="1">
      <alignment horizontal="center"/>
    </xf>
    <xf numFmtId="165" fontId="5" fillId="0" borderId="0" xfId="2" applyNumberFormat="1" applyFont="1"/>
    <xf numFmtId="165" fontId="5" fillId="0" borderId="7" xfId="2" applyNumberFormat="1" applyFont="1" applyBorder="1"/>
    <xf numFmtId="165" fontId="8" fillId="0" borderId="2" xfId="2" applyNumberFormat="1" applyFont="1" applyBorder="1"/>
    <xf numFmtId="0" fontId="5" fillId="0" borderId="0" xfId="0" applyFont="1"/>
    <xf numFmtId="165" fontId="8" fillId="0" borderId="10" xfId="2" applyNumberFormat="1" applyFont="1" applyBorder="1"/>
    <xf numFmtId="10" fontId="8" fillId="0" borderId="0" xfId="0" applyNumberFormat="1" applyFont="1" applyAlignment="1">
      <alignment horizontal="center"/>
    </xf>
    <xf numFmtId="0" fontId="20" fillId="0" borderId="0" xfId="0" applyFont="1" applyFill="1" applyAlignment="1">
      <alignment horizontal="center"/>
    </xf>
    <xf numFmtId="165" fontId="5" fillId="0" borderId="0" xfId="2" applyNumberFormat="1" applyFont="1" applyAlignment="1">
      <alignment horizontal="center" shrinkToFit="1"/>
    </xf>
    <xf numFmtId="10" fontId="12" fillId="5" borderId="0" xfId="0" applyNumberFormat="1" applyFont="1" applyFill="1" applyAlignment="1">
      <alignment horizontal="center"/>
    </xf>
    <xf numFmtId="10" fontId="11" fillId="5" borderId="0" xfId="0" applyNumberFormat="1" applyFont="1" applyFill="1" applyAlignment="1">
      <alignment horizontal="center"/>
    </xf>
    <xf numFmtId="164" fontId="8" fillId="0" borderId="0" xfId="1" applyNumberFormat="1" applyFont="1"/>
    <xf numFmtId="0" fontId="5" fillId="0" borderId="0" xfId="0" applyFont="1" applyAlignment="1">
      <alignment horizontal="center"/>
    </xf>
    <xf numFmtId="168" fontId="5" fillId="0" borderId="0" xfId="0" applyNumberFormat="1" applyFont="1" applyAlignment="1">
      <alignment horizontal="center"/>
    </xf>
    <xf numFmtId="0" fontId="0" fillId="4" borderId="17" xfId="0" applyFill="1" applyBorder="1" applyAlignment="1"/>
    <xf numFmtId="0" fontId="0" fillId="4" borderId="18" xfId="0" applyFill="1" applyBorder="1" applyAlignment="1"/>
    <xf numFmtId="166" fontId="0" fillId="10" borderId="0" xfId="0" applyNumberFormat="1" applyFill="1" applyAlignment="1">
      <alignment horizontal="center"/>
    </xf>
    <xf numFmtId="0" fontId="0" fillId="10" borderId="0" xfId="0" applyNumberFormat="1" applyFill="1" applyAlignment="1">
      <alignment horizontal="center"/>
    </xf>
    <xf numFmtId="14" fontId="0" fillId="10" borderId="0" xfId="0" applyNumberFormat="1" applyFill="1" applyAlignment="1">
      <alignment horizontal="center"/>
    </xf>
    <xf numFmtId="10" fontId="0" fillId="10" borderId="0" xfId="0" applyNumberFormat="1" applyFill="1" applyAlignment="1">
      <alignment horizontal="center"/>
    </xf>
    <xf numFmtId="0" fontId="0" fillId="10" borderId="0" xfId="0" applyFill="1" applyAlignment="1">
      <alignment horizontal="center"/>
    </xf>
    <xf numFmtId="165" fontId="0" fillId="10" borderId="0" xfId="2" applyNumberFormat="1" applyFont="1" applyFill="1"/>
    <xf numFmtId="10" fontId="6" fillId="0" borderId="0" xfId="0" applyNumberFormat="1" applyFont="1" applyBorder="1" applyAlignment="1">
      <alignment horizontal="center"/>
    </xf>
    <xf numFmtId="10" fontId="2" fillId="0" borderId="0" xfId="0" applyNumberFormat="1" applyFont="1" applyBorder="1" applyAlignment="1">
      <alignment horizontal="center"/>
    </xf>
    <xf numFmtId="0" fontId="32" fillId="5" borderId="0" xfId="0" applyFont="1" applyFill="1"/>
    <xf numFmtId="0" fontId="32" fillId="4" borderId="18" xfId="0" applyFont="1" applyFill="1" applyBorder="1" applyAlignment="1"/>
    <xf numFmtId="0" fontId="25" fillId="5" borderId="3" xfId="0" applyFont="1" applyFill="1" applyBorder="1"/>
    <xf numFmtId="0" fontId="20" fillId="0" borderId="2" xfId="0" applyFont="1" applyFill="1" applyBorder="1"/>
    <xf numFmtId="0" fontId="20" fillId="0" borderId="0" xfId="0" applyFont="1" applyFill="1" applyBorder="1"/>
    <xf numFmtId="0" fontId="25" fillId="5" borderId="2" xfId="0" applyFont="1" applyFill="1" applyBorder="1"/>
    <xf numFmtId="0" fontId="25" fillId="0" borderId="0" xfId="0" applyFont="1" applyFill="1" applyBorder="1"/>
    <xf numFmtId="0" fontId="0" fillId="0" borderId="3" xfId="0" applyFill="1" applyBorder="1"/>
    <xf numFmtId="0" fontId="32" fillId="0" borderId="0" xfId="0" applyFont="1" applyFill="1"/>
    <xf numFmtId="0" fontId="17" fillId="5" borderId="2" xfId="0" applyFont="1" applyFill="1" applyBorder="1" applyAlignment="1">
      <alignment horizontal="center"/>
    </xf>
    <xf numFmtId="0" fontId="17" fillId="0" borderId="1" xfId="0" applyFont="1" applyBorder="1" applyAlignment="1">
      <alignment horizontal="center"/>
    </xf>
    <xf numFmtId="175" fontId="31" fillId="0" borderId="2" xfId="0" applyNumberFormat="1" applyFont="1" applyBorder="1" applyAlignment="1">
      <alignment horizontal="center"/>
    </xf>
    <xf numFmtId="166" fontId="31" fillId="0" borderId="2" xfId="0" applyNumberFormat="1" applyFont="1" applyBorder="1" applyAlignment="1">
      <alignment horizontal="center"/>
    </xf>
    <xf numFmtId="14" fontId="18" fillId="0" borderId="3" xfId="0" applyNumberFormat="1" applyFont="1" applyBorder="1" applyAlignment="1">
      <alignment horizontal="center"/>
    </xf>
    <xf numFmtId="14" fontId="18" fillId="0" borderId="0" xfId="0" applyNumberFormat="1" applyFont="1" applyBorder="1" applyAlignment="1">
      <alignment horizontal="center"/>
    </xf>
    <xf numFmtId="167" fontId="32" fillId="0" borderId="0" xfId="2" applyNumberFormat="1" applyFont="1" applyBorder="1"/>
    <xf numFmtId="0" fontId="30" fillId="5" borderId="0" xfId="0" applyFont="1" applyFill="1" applyBorder="1"/>
    <xf numFmtId="167" fontId="32" fillId="0" borderId="3" xfId="2" applyNumberFormat="1" applyFont="1" applyBorder="1"/>
    <xf numFmtId="167" fontId="30" fillId="0" borderId="3" xfId="2" applyNumberFormat="1" applyFont="1" applyBorder="1"/>
    <xf numFmtId="167" fontId="32" fillId="0" borderId="20" xfId="2" applyNumberFormat="1" applyFont="1" applyBorder="1"/>
    <xf numFmtId="167" fontId="32" fillId="0" borderId="22" xfId="2" applyNumberFormat="1" applyFont="1" applyBorder="1"/>
    <xf numFmtId="0" fontId="32" fillId="5" borderId="22" xfId="0" applyFont="1" applyFill="1" applyBorder="1"/>
    <xf numFmtId="167" fontId="32" fillId="0" borderId="21" xfId="0" applyNumberFormat="1" applyFont="1" applyBorder="1"/>
    <xf numFmtId="167" fontId="32" fillId="0" borderId="3" xfId="2" applyNumberFormat="1" applyFont="1" applyFill="1" applyBorder="1"/>
    <xf numFmtId="167" fontId="32" fillId="0" borderId="0" xfId="2" applyNumberFormat="1" applyFont="1" applyFill="1" applyBorder="1"/>
    <xf numFmtId="167" fontId="32" fillId="0" borderId="6" xfId="2" applyNumberFormat="1" applyFont="1" applyBorder="1"/>
    <xf numFmtId="167" fontId="32" fillId="0" borderId="7" xfId="2" applyNumberFormat="1" applyFont="1" applyBorder="1"/>
    <xf numFmtId="167" fontId="32" fillId="0" borderId="16" xfId="0" applyNumberFormat="1" applyFont="1" applyBorder="1"/>
    <xf numFmtId="165" fontId="44" fillId="0" borderId="3" xfId="2" applyNumberFormat="1" applyFont="1" applyBorder="1"/>
    <xf numFmtId="0" fontId="32" fillId="0" borderId="15" xfId="0" applyFont="1" applyBorder="1"/>
    <xf numFmtId="0" fontId="32" fillId="0" borderId="3" xfId="0" applyFont="1" applyBorder="1"/>
    <xf numFmtId="10" fontId="33" fillId="0" borderId="3" xfId="0" applyNumberFormat="1" applyFont="1" applyBorder="1" applyAlignment="1">
      <alignment horizontal="center"/>
    </xf>
    <xf numFmtId="0" fontId="32" fillId="0" borderId="20" xfId="0" applyFont="1" applyBorder="1"/>
    <xf numFmtId="0" fontId="32" fillId="0" borderId="21" xfId="0" applyFont="1" applyBorder="1"/>
    <xf numFmtId="6" fontId="7" fillId="0" borderId="3" xfId="1" applyNumberFormat="1" applyFont="1" applyFill="1" applyBorder="1" applyAlignment="1">
      <alignment horizontal="center"/>
    </xf>
    <xf numFmtId="6" fontId="33" fillId="0" borderId="3" xfId="1" applyNumberFormat="1" applyFont="1" applyBorder="1" applyAlignment="1">
      <alignment horizontal="center"/>
    </xf>
    <xf numFmtId="0" fontId="29" fillId="2" borderId="3" xfId="0" applyFont="1" applyFill="1" applyBorder="1" applyAlignment="1">
      <alignment horizontal="center"/>
    </xf>
    <xf numFmtId="6" fontId="32" fillId="0" borderId="3" xfId="0" applyNumberFormat="1" applyFont="1" applyBorder="1" applyAlignment="1">
      <alignment horizontal="center"/>
    </xf>
    <xf numFmtId="175" fontId="29" fillId="2" borderId="3" xfId="0" applyNumberFormat="1" applyFont="1" applyFill="1" applyBorder="1" applyAlignment="1">
      <alignment horizontal="center"/>
    </xf>
    <xf numFmtId="0" fontId="29" fillId="2" borderId="15" xfId="0" applyFont="1" applyFill="1" applyBorder="1"/>
    <xf numFmtId="10" fontId="29" fillId="0" borderId="3" xfId="0" applyNumberFormat="1" applyFont="1" applyBorder="1" applyAlignment="1">
      <alignment horizontal="center"/>
    </xf>
    <xf numFmtId="10" fontId="29" fillId="0" borderId="6" xfId="0" applyNumberFormat="1" applyFont="1" applyBorder="1" applyAlignment="1">
      <alignment horizontal="center"/>
    </xf>
    <xf numFmtId="0" fontId="32" fillId="0" borderId="16" xfId="0" applyFont="1" applyBorder="1"/>
    <xf numFmtId="6" fontId="45" fillId="0" borderId="15" xfId="2" applyNumberFormat="1" applyFont="1" applyBorder="1" applyAlignment="1">
      <alignment horizontal="center"/>
    </xf>
    <xf numFmtId="167" fontId="32" fillId="10" borderId="0" xfId="0" applyNumberFormat="1" applyFont="1" applyFill="1" applyBorder="1"/>
    <xf numFmtId="167" fontId="32" fillId="10" borderId="0" xfId="2" applyNumberFormat="1" applyFont="1" applyFill="1" applyBorder="1"/>
    <xf numFmtId="167" fontId="30" fillId="10" borderId="0" xfId="2" applyNumberFormat="1" applyFont="1" applyFill="1" applyBorder="1"/>
    <xf numFmtId="167" fontId="32" fillId="10" borderId="22" xfId="2" applyNumberFormat="1" applyFont="1" applyFill="1" applyBorder="1"/>
    <xf numFmtId="167" fontId="32" fillId="10" borderId="7" xfId="2" applyNumberFormat="1" applyFont="1" applyFill="1" applyBorder="1"/>
    <xf numFmtId="0" fontId="2" fillId="0" borderId="10" xfId="0" applyFont="1" applyBorder="1"/>
    <xf numFmtId="0" fontId="2" fillId="0" borderId="3" xfId="0" applyFont="1" applyBorder="1"/>
    <xf numFmtId="0" fontId="2" fillId="0" borderId="6" xfId="0" applyFont="1" applyBorder="1"/>
    <xf numFmtId="0" fontId="13" fillId="0" borderId="1" xfId="0" applyFont="1" applyBorder="1"/>
    <xf numFmtId="0" fontId="2" fillId="0" borderId="2" xfId="0" applyFont="1" applyBorder="1" applyAlignment="1">
      <alignment horizontal="center"/>
    </xf>
    <xf numFmtId="166" fontId="2" fillId="0" borderId="2" xfId="0" applyNumberFormat="1" applyFont="1" applyBorder="1" applyAlignment="1">
      <alignment horizontal="center"/>
    </xf>
    <xf numFmtId="166" fontId="2" fillId="0" borderId="14" xfId="0" applyNumberFormat="1" applyFont="1" applyBorder="1" applyAlignment="1">
      <alignment horizontal="center"/>
    </xf>
    <xf numFmtId="9" fontId="12" fillId="0" borderId="0" xfId="0" applyNumberFormat="1" applyFont="1" applyBorder="1" applyAlignment="1">
      <alignment horizontal="center"/>
    </xf>
    <xf numFmtId="9" fontId="8" fillId="0" borderId="0" xfId="0" applyNumberFormat="1" applyFont="1" applyBorder="1" applyAlignment="1">
      <alignment horizontal="center"/>
    </xf>
    <xf numFmtId="6" fontId="0" fillId="0" borderId="15" xfId="0" applyNumberFormat="1" applyBorder="1" applyAlignment="1">
      <alignment horizontal="center"/>
    </xf>
    <xf numFmtId="0" fontId="13" fillId="0" borderId="3" xfId="0" applyFont="1" applyBorder="1"/>
    <xf numFmtId="165" fontId="0" fillId="0" borderId="16" xfId="2" applyNumberFormat="1" applyFont="1" applyBorder="1"/>
    <xf numFmtId="0" fontId="17" fillId="0" borderId="1" xfId="0" applyFont="1" applyBorder="1"/>
    <xf numFmtId="0" fontId="0" fillId="0" borderId="14" xfId="0" applyBorder="1"/>
    <xf numFmtId="0" fontId="13" fillId="0" borderId="3" xfId="0" applyFont="1" applyBorder="1" applyAlignment="1">
      <alignment horizontal="center"/>
    </xf>
    <xf numFmtId="0" fontId="13" fillId="0" borderId="0" xfId="0" applyFont="1" applyBorder="1" applyAlignment="1">
      <alignment horizontal="center"/>
    </xf>
    <xf numFmtId="0" fontId="13" fillId="0" borderId="15" xfId="0" applyFont="1" applyBorder="1" applyAlignment="1">
      <alignment horizontal="center"/>
    </xf>
    <xf numFmtId="6" fontId="6" fillId="0" borderId="0" xfId="0" applyNumberFormat="1" applyFont="1" applyBorder="1" applyAlignment="1">
      <alignment horizontal="center"/>
    </xf>
    <xf numFmtId="6" fontId="0" fillId="0" borderId="30" xfId="0" applyNumberFormat="1" applyBorder="1" applyAlignment="1">
      <alignment horizontal="center"/>
    </xf>
    <xf numFmtId="6" fontId="0" fillId="0" borderId="33" xfId="0" applyNumberFormat="1" applyBorder="1" applyAlignment="1">
      <alignment horizontal="center"/>
    </xf>
    <xf numFmtId="6" fontId="2" fillId="0" borderId="32" xfId="0" applyNumberFormat="1" applyFont="1" applyBorder="1" applyAlignment="1">
      <alignment horizontal="center"/>
    </xf>
    <xf numFmtId="6" fontId="0" fillId="0" borderId="7" xfId="0" applyNumberFormat="1" applyBorder="1" applyAlignment="1">
      <alignment horizontal="center"/>
    </xf>
    <xf numFmtId="0" fontId="13" fillId="5" borderId="0" xfId="0" applyFont="1" applyFill="1" applyAlignment="1">
      <alignment horizontal="center"/>
    </xf>
    <xf numFmtId="0" fontId="15" fillId="0" borderId="0" xfId="0" applyFont="1" applyAlignment="1">
      <alignment horizontal="center"/>
    </xf>
    <xf numFmtId="0" fontId="13" fillId="0" borderId="0" xfId="0" applyFont="1" applyAlignment="1">
      <alignment horizontal="center"/>
    </xf>
    <xf numFmtId="10" fontId="46" fillId="0" borderId="3" xfId="0" applyNumberFormat="1" applyFont="1" applyBorder="1" applyAlignment="1">
      <alignment horizontal="center"/>
    </xf>
    <xf numFmtId="168" fontId="47" fillId="6" borderId="17" xfId="0" applyNumberFormat="1" applyFont="1" applyFill="1" applyBorder="1" applyAlignment="1">
      <alignment horizontal="center"/>
    </xf>
    <xf numFmtId="10" fontId="32" fillId="0" borderId="0" xfId="0" applyNumberFormat="1" applyFont="1" applyBorder="1" applyAlignment="1">
      <alignment horizontal="right"/>
    </xf>
    <xf numFmtId="0" fontId="32" fillId="5" borderId="3" xfId="0" applyFont="1" applyFill="1" applyBorder="1"/>
    <xf numFmtId="0" fontId="32" fillId="0" borderId="0" xfId="0" applyFont="1" applyFill="1" applyBorder="1"/>
    <xf numFmtId="0" fontId="32" fillId="5" borderId="15" xfId="0" applyFont="1" applyFill="1" applyBorder="1"/>
    <xf numFmtId="9" fontId="48" fillId="0" borderId="0" xfId="0" applyNumberFormat="1" applyFont="1" applyAlignment="1">
      <alignment horizontal="center"/>
    </xf>
    <xf numFmtId="0" fontId="32" fillId="0" borderId="0" xfId="0" applyFont="1" applyAlignment="1">
      <alignment horizontal="right"/>
    </xf>
    <xf numFmtId="167" fontId="32" fillId="0" borderId="0" xfId="0" applyNumberFormat="1" applyFont="1" applyBorder="1" applyAlignment="1">
      <alignment shrinkToFit="1"/>
    </xf>
    <xf numFmtId="167" fontId="32" fillId="0" borderId="3" xfId="0" applyNumberFormat="1" applyFont="1" applyBorder="1" applyAlignment="1">
      <alignment shrinkToFit="1"/>
    </xf>
    <xf numFmtId="167" fontId="32" fillId="0" borderId="15" xfId="0" applyNumberFormat="1" applyFont="1" applyBorder="1" applyAlignment="1">
      <alignment shrinkToFit="1"/>
    </xf>
    <xf numFmtId="0" fontId="49" fillId="0" borderId="0" xfId="0" applyFont="1" applyAlignment="1">
      <alignment horizontal="right"/>
    </xf>
    <xf numFmtId="167" fontId="32" fillId="0" borderId="31" xfId="0" applyNumberFormat="1" applyFont="1" applyBorder="1"/>
    <xf numFmtId="167" fontId="32" fillId="0" borderId="10" xfId="0" applyNumberFormat="1" applyFont="1" applyBorder="1"/>
    <xf numFmtId="10" fontId="32" fillId="0" borderId="0" xfId="0" applyNumberFormat="1" applyFont="1" applyBorder="1"/>
    <xf numFmtId="0" fontId="50" fillId="0" borderId="0" xfId="0" applyFont="1" applyAlignment="1">
      <alignment horizontal="right"/>
    </xf>
    <xf numFmtId="0" fontId="32" fillId="0" borderId="1" xfId="0" applyFont="1" applyBorder="1"/>
    <xf numFmtId="0" fontId="32" fillId="0" borderId="2" xfId="0" applyFont="1" applyBorder="1"/>
    <xf numFmtId="0" fontId="29" fillId="0" borderId="0" xfId="0" applyFont="1" applyBorder="1" applyAlignment="1">
      <alignment horizontal="right" wrapText="1"/>
    </xf>
    <xf numFmtId="178" fontId="32" fillId="0" borderId="0" xfId="0" applyNumberFormat="1" applyFont="1" applyBorder="1" applyAlignment="1">
      <alignment horizontal="center"/>
    </xf>
    <xf numFmtId="167" fontId="32" fillId="0" borderId="6" xfId="0" applyNumberFormat="1" applyFont="1" applyBorder="1" applyAlignment="1">
      <alignment shrinkToFit="1"/>
    </xf>
    <xf numFmtId="167" fontId="32" fillId="0" borderId="7" xfId="0" applyNumberFormat="1" applyFont="1" applyBorder="1" applyAlignment="1">
      <alignment shrinkToFit="1"/>
    </xf>
    <xf numFmtId="167" fontId="32" fillId="0" borderId="16" xfId="0" applyNumberFormat="1" applyFont="1" applyBorder="1" applyAlignment="1">
      <alignment shrinkToFit="1"/>
    </xf>
    <xf numFmtId="167" fontId="32" fillId="0" borderId="32" xfId="0" applyNumberFormat="1" applyFont="1" applyBorder="1"/>
    <xf numFmtId="165" fontId="5" fillId="0" borderId="7" xfId="2" applyNumberFormat="1" applyFont="1" applyBorder="1" applyAlignment="1">
      <alignment horizontal="center" shrinkToFit="1"/>
    </xf>
    <xf numFmtId="10" fontId="0" fillId="0" borderId="7" xfId="0" applyNumberFormat="1" applyBorder="1"/>
    <xf numFmtId="10" fontId="38" fillId="0" borderId="12" xfId="0" applyNumberFormat="1" applyFont="1" applyBorder="1"/>
    <xf numFmtId="165" fontId="39" fillId="0" borderId="12" xfId="2" applyNumberFormat="1" applyFont="1" applyBorder="1" applyAlignment="1">
      <alignment horizontal="center" shrinkToFit="1"/>
    </xf>
    <xf numFmtId="0" fontId="31" fillId="0" borderId="14" xfId="0" applyNumberFormat="1" applyFont="1" applyBorder="1" applyAlignment="1">
      <alignment horizontal="center"/>
    </xf>
    <xf numFmtId="14" fontId="18" fillId="0" borderId="15" xfId="0" applyNumberFormat="1" applyFont="1" applyBorder="1" applyAlignment="1">
      <alignment horizontal="center"/>
    </xf>
    <xf numFmtId="167" fontId="32" fillId="0" borderId="15" xfId="2" applyNumberFormat="1" applyFont="1" applyBorder="1"/>
    <xf numFmtId="167" fontId="32" fillId="0" borderId="21" xfId="2" applyNumberFormat="1" applyFont="1" applyBorder="1"/>
    <xf numFmtId="167" fontId="32" fillId="0" borderId="16" xfId="2" applyNumberFormat="1" applyFont="1" applyBorder="1"/>
    <xf numFmtId="0" fontId="27" fillId="6" borderId="25" xfId="0" applyFont="1" applyFill="1" applyBorder="1" applyAlignment="1">
      <alignment horizontal="right"/>
    </xf>
    <xf numFmtId="10" fontId="27" fillId="6" borderId="26" xfId="0" applyNumberFormat="1" applyFont="1" applyFill="1" applyBorder="1" applyAlignment="1">
      <alignment horizontal="center"/>
    </xf>
    <xf numFmtId="176" fontId="27" fillId="6" borderId="26" xfId="0" applyNumberFormat="1" applyFont="1" applyFill="1" applyBorder="1" applyAlignment="1">
      <alignment horizontal="center"/>
    </xf>
    <xf numFmtId="0" fontId="27" fillId="6" borderId="27" xfId="0" applyFont="1" applyFill="1" applyBorder="1" applyAlignment="1">
      <alignment horizontal="right"/>
    </xf>
    <xf numFmtId="10" fontId="27" fillId="6" borderId="28" xfId="0" applyNumberFormat="1" applyFont="1" applyFill="1" applyBorder="1" applyAlignment="1">
      <alignment horizontal="center"/>
    </xf>
    <xf numFmtId="165" fontId="0" fillId="11" borderId="0" xfId="2" applyNumberFormat="1" applyFont="1" applyFill="1"/>
    <xf numFmtId="165" fontId="2" fillId="11" borderId="5" xfId="2" applyNumberFormat="1" applyFont="1" applyFill="1" applyBorder="1"/>
    <xf numFmtId="165" fontId="2" fillId="11" borderId="0" xfId="2" applyNumberFormat="1" applyFont="1" applyFill="1" applyBorder="1"/>
    <xf numFmtId="0" fontId="0" fillId="11" borderId="0" xfId="0" applyFill="1"/>
    <xf numFmtId="165" fontId="2" fillId="11" borderId="8" xfId="2" applyNumberFormat="1" applyFont="1" applyFill="1" applyBorder="1"/>
    <xf numFmtId="10" fontId="10" fillId="11" borderId="0" xfId="2" applyNumberFormat="1" applyFont="1" applyFill="1" applyAlignment="1">
      <alignment horizontal="center"/>
    </xf>
    <xf numFmtId="0" fontId="0" fillId="11" borderId="0" xfId="0" applyFill="1" applyBorder="1"/>
    <xf numFmtId="165" fontId="0" fillId="11" borderId="0" xfId="2" applyNumberFormat="1" applyFont="1" applyFill="1" applyBorder="1"/>
    <xf numFmtId="10" fontId="10" fillId="11" borderId="0" xfId="2" applyNumberFormat="1" applyFont="1" applyFill="1" applyBorder="1" applyAlignment="1">
      <alignment horizontal="center"/>
    </xf>
    <xf numFmtId="165" fontId="6" fillId="0" borderId="0" xfId="2" applyNumberFormat="1" applyFont="1"/>
    <xf numFmtId="0" fontId="0" fillId="0" borderId="0" xfId="0" applyFont="1" applyAlignment="1">
      <alignment vertical="top" wrapText="1"/>
    </xf>
    <xf numFmtId="0" fontId="52" fillId="0" borderId="0" xfId="0" applyFont="1"/>
    <xf numFmtId="0" fontId="0" fillId="0" borderId="0" xfId="0" applyAlignment="1">
      <alignment horizontal="right"/>
    </xf>
    <xf numFmtId="9" fontId="12" fillId="0" borderId="0" xfId="0" applyNumberFormat="1" applyFont="1" applyAlignment="1">
      <alignment horizontal="center"/>
    </xf>
    <xf numFmtId="0" fontId="12" fillId="0" borderId="0" xfId="0" applyNumberFormat="1" applyFont="1" applyAlignment="1">
      <alignment horizontal="center"/>
    </xf>
    <xf numFmtId="8" fontId="12" fillId="0" borderId="0" xfId="0" applyNumberFormat="1" applyFont="1" applyAlignment="1">
      <alignment horizontal="center"/>
    </xf>
    <xf numFmtId="169" fontId="12" fillId="0" borderId="0" xfId="0" applyNumberFormat="1" applyFont="1" applyAlignment="1">
      <alignment horizontal="center"/>
    </xf>
    <xf numFmtId="6" fontId="12" fillId="0" borderId="0" xfId="0" applyNumberFormat="1" applyFont="1" applyAlignment="1">
      <alignment horizontal="center"/>
    </xf>
    <xf numFmtId="0" fontId="2" fillId="8" borderId="0" xfId="0" applyNumberFormat="1" applyFont="1" applyFill="1" applyAlignment="1">
      <alignment horizontal="center"/>
    </xf>
    <xf numFmtId="179" fontId="10" fillId="0" borderId="0" xfId="0" applyNumberFormat="1" applyFont="1" applyAlignment="1">
      <alignment horizontal="center"/>
    </xf>
    <xf numFmtId="0" fontId="10" fillId="0" borderId="0" xfId="0" applyFont="1" applyAlignment="1">
      <alignment horizontal="right"/>
    </xf>
    <xf numFmtId="0" fontId="13" fillId="0" borderId="0" xfId="0" applyFont="1" applyAlignment="1">
      <alignment horizontal="left"/>
    </xf>
    <xf numFmtId="0" fontId="13" fillId="0" borderId="0" xfId="0" applyFont="1" applyFill="1"/>
    <xf numFmtId="181" fontId="2" fillId="0" borderId="5" xfId="0" applyNumberFormat="1" applyFont="1" applyBorder="1" applyAlignment="1">
      <alignment horizontal="center"/>
    </xf>
    <xf numFmtId="180" fontId="0" fillId="0" borderId="0" xfId="0" applyNumberFormat="1" applyBorder="1" applyAlignment="1">
      <alignment horizontal="center"/>
    </xf>
    <xf numFmtId="9" fontId="10" fillId="0" borderId="0" xfId="0" applyNumberFormat="1" applyFont="1" applyAlignment="1">
      <alignment horizontal="center"/>
    </xf>
    <xf numFmtId="0" fontId="8" fillId="0" borderId="0" xfId="0" applyFont="1" applyAlignment="1">
      <alignment horizontal="center"/>
    </xf>
    <xf numFmtId="165" fontId="0" fillId="0" borderId="17" xfId="2" applyNumberFormat="1" applyFont="1" applyBorder="1"/>
    <xf numFmtId="165" fontId="6" fillId="0" borderId="18" xfId="2" applyNumberFormat="1" applyFont="1" applyBorder="1"/>
    <xf numFmtId="165" fontId="2" fillId="0" borderId="34" xfId="2" applyNumberFormat="1" applyFont="1" applyBorder="1"/>
    <xf numFmtId="165" fontId="2" fillId="0" borderId="18" xfId="2" applyNumberFormat="1" applyFont="1" applyBorder="1"/>
    <xf numFmtId="0" fontId="0" fillId="0" borderId="18" xfId="0" applyBorder="1"/>
    <xf numFmtId="165" fontId="0" fillId="0" borderId="18" xfId="2" applyNumberFormat="1" applyFont="1" applyBorder="1"/>
    <xf numFmtId="165" fontId="2" fillId="0" borderId="35" xfId="2" applyNumberFormat="1" applyFont="1" applyBorder="1"/>
    <xf numFmtId="165" fontId="0" fillId="9" borderId="18" xfId="2" applyNumberFormat="1" applyFont="1" applyFill="1" applyBorder="1"/>
    <xf numFmtId="0" fontId="11" fillId="0" borderId="0" xfId="2" applyNumberFormat="1" applyFont="1" applyAlignment="1">
      <alignment horizontal="center"/>
    </xf>
    <xf numFmtId="165" fontId="1" fillId="11" borderId="0" xfId="2" applyNumberFormat="1" applyFont="1" applyFill="1"/>
    <xf numFmtId="167" fontId="32" fillId="0" borderId="6" xfId="0" applyNumberFormat="1" applyFont="1" applyBorder="1"/>
    <xf numFmtId="167" fontId="32" fillId="0" borderId="7" xfId="0" applyNumberFormat="1" applyFont="1" applyBorder="1"/>
    <xf numFmtId="167" fontId="32" fillId="0" borderId="1" xfId="0" applyNumberFormat="1" applyFont="1" applyBorder="1"/>
    <xf numFmtId="167" fontId="32" fillId="0" borderId="2" xfId="0" applyNumberFormat="1" applyFont="1" applyBorder="1"/>
    <xf numFmtId="167" fontId="32" fillId="0" borderId="14" xfId="0" applyNumberFormat="1" applyFont="1" applyBorder="1"/>
    <xf numFmtId="167" fontId="32" fillId="0" borderId="36" xfId="0" applyNumberFormat="1" applyFont="1" applyBorder="1"/>
    <xf numFmtId="167" fontId="32" fillId="0" borderId="37" xfId="0" applyNumberFormat="1" applyFont="1" applyBorder="1"/>
    <xf numFmtId="167" fontId="32" fillId="0" borderId="38" xfId="0" applyNumberFormat="1" applyFont="1" applyBorder="1"/>
    <xf numFmtId="167" fontId="32" fillId="0" borderId="36" xfId="0" applyNumberFormat="1" applyFont="1" applyBorder="1" applyAlignment="1">
      <alignment shrinkToFit="1"/>
    </xf>
    <xf numFmtId="167" fontId="32" fillId="0" borderId="37" xfId="0" applyNumberFormat="1" applyFont="1" applyBorder="1" applyAlignment="1">
      <alignment shrinkToFit="1"/>
    </xf>
    <xf numFmtId="167" fontId="32" fillId="0" borderId="38" xfId="0" applyNumberFormat="1" applyFont="1" applyBorder="1" applyAlignment="1">
      <alignment shrinkToFit="1"/>
    </xf>
    <xf numFmtId="167" fontId="53" fillId="0" borderId="0" xfId="0" applyNumberFormat="1" applyFont="1"/>
    <xf numFmtId="178" fontId="32" fillId="0" borderId="0" xfId="0" applyNumberFormat="1" applyFont="1" applyBorder="1" applyAlignment="1">
      <alignment horizontal="right"/>
    </xf>
    <xf numFmtId="0" fontId="55" fillId="0" borderId="15" xfId="0" applyFont="1" applyBorder="1"/>
    <xf numFmtId="0" fontId="13" fillId="0" borderId="0" xfId="0" applyFont="1" applyAlignment="1">
      <alignment horizontal="center"/>
    </xf>
    <xf numFmtId="0" fontId="0" fillId="0" borderId="0" xfId="0" applyAlignment="1" applyProtection="1">
      <alignment horizontal="center"/>
      <protection locked="0"/>
    </xf>
    <xf numFmtId="0" fontId="43" fillId="5" borderId="1" xfId="0" applyFont="1" applyFill="1" applyBorder="1" applyAlignment="1" applyProtection="1">
      <alignment horizontal="left"/>
      <protection locked="0"/>
    </xf>
    <xf numFmtId="0" fontId="43" fillId="5" borderId="2" xfId="0" applyFont="1" applyFill="1" applyBorder="1" applyAlignment="1" applyProtection="1">
      <alignment horizontal="center"/>
      <protection locked="0"/>
    </xf>
    <xf numFmtId="0" fontId="43" fillId="0" borderId="0" xfId="0" applyFont="1" applyFill="1" applyBorder="1" applyAlignment="1" applyProtection="1">
      <alignment horizontal="center"/>
      <protection locked="0"/>
    </xf>
    <xf numFmtId="10" fontId="12" fillId="0" borderId="0" xfId="0" applyNumberFormat="1" applyFont="1" applyBorder="1" applyAlignment="1" applyProtection="1">
      <alignment horizontal="center"/>
      <protection locked="0"/>
    </xf>
    <xf numFmtId="10" fontId="0" fillId="0" borderId="15" xfId="0" applyNumberFormat="1" applyBorder="1" applyAlignment="1" applyProtection="1">
      <alignment horizontal="center"/>
      <protection locked="0"/>
    </xf>
    <xf numFmtId="0" fontId="0" fillId="0" borderId="0" xfId="0" applyBorder="1" applyAlignment="1" applyProtection="1">
      <alignment horizontal="right"/>
      <protection locked="0"/>
    </xf>
    <xf numFmtId="10" fontId="12" fillId="0" borderId="0" xfId="0" applyNumberFormat="1" applyFont="1" applyFill="1" applyBorder="1" applyAlignment="1" applyProtection="1">
      <alignment horizontal="center"/>
      <protection locked="0"/>
    </xf>
    <xf numFmtId="177" fontId="12" fillId="0" borderId="0" xfId="0" applyNumberFormat="1" applyFont="1" applyBorder="1" applyAlignment="1" applyProtection="1">
      <alignment horizontal="center"/>
      <protection locked="0"/>
    </xf>
    <xf numFmtId="0" fontId="0" fillId="0" borderId="0" xfId="0" applyBorder="1" applyAlignment="1" applyProtection="1">
      <protection locked="0"/>
    </xf>
    <xf numFmtId="10" fontId="12" fillId="0" borderId="15" xfId="0" applyNumberFormat="1" applyFont="1" applyBorder="1" applyAlignment="1" applyProtection="1">
      <alignment horizontal="center"/>
      <protection locked="0"/>
    </xf>
    <xf numFmtId="10" fontId="12" fillId="0" borderId="7" xfId="0" applyNumberFormat="1" applyFont="1" applyFill="1" applyBorder="1" applyAlignment="1" applyProtection="1">
      <alignment horizontal="center"/>
      <protection locked="0"/>
    </xf>
    <xf numFmtId="0" fontId="0" fillId="0" borderId="7" xfId="0" applyBorder="1" applyAlignment="1" applyProtection="1">
      <protection locked="0"/>
    </xf>
    <xf numFmtId="10" fontId="12" fillId="0" borderId="16" xfId="0" applyNumberFormat="1" applyFont="1" applyFill="1" applyBorder="1" applyAlignment="1" applyProtection="1">
      <alignment horizontal="center"/>
      <protection locked="0"/>
    </xf>
    <xf numFmtId="0" fontId="43" fillId="5" borderId="11" xfId="0" applyFont="1" applyFill="1" applyBorder="1" applyAlignment="1" applyProtection="1">
      <alignment horizontal="left"/>
      <protection locked="0"/>
    </xf>
    <xf numFmtId="0" fontId="43" fillId="5" borderId="12" xfId="0" applyFont="1" applyFill="1" applyBorder="1" applyAlignment="1" applyProtection="1">
      <alignment horizontal="center"/>
      <protection locked="0"/>
    </xf>
    <xf numFmtId="0" fontId="43" fillId="5" borderId="13" xfId="0" applyFont="1" applyFill="1" applyBorder="1" applyAlignment="1" applyProtection="1">
      <alignment horizontal="center"/>
      <protection locked="0"/>
    </xf>
    <xf numFmtId="0" fontId="43" fillId="5" borderId="11" xfId="0" applyFont="1" applyFill="1" applyBorder="1" applyAlignment="1" applyProtection="1">
      <protection locked="0"/>
    </xf>
    <xf numFmtId="0" fontId="43" fillId="5" borderId="13" xfId="0" applyFont="1" applyFill="1" applyBorder="1" applyAlignment="1" applyProtection="1">
      <protection locked="0"/>
    </xf>
    <xf numFmtId="14" fontId="12" fillId="0" borderId="0" xfId="0" applyNumberFormat="1" applyFont="1" applyAlignment="1" applyProtection="1">
      <alignment horizontal="center"/>
      <protection locked="0"/>
    </xf>
    <xf numFmtId="10" fontId="0" fillId="6" borderId="15" xfId="0" applyNumberFormat="1" applyFont="1" applyFill="1" applyBorder="1" applyAlignment="1" applyProtection="1">
      <alignment horizontal="center"/>
      <protection locked="0"/>
    </xf>
    <xf numFmtId="0" fontId="12" fillId="0" borderId="15" xfId="0" applyFont="1" applyBorder="1" applyAlignment="1" applyProtection="1">
      <alignment horizontal="center"/>
      <protection locked="0"/>
    </xf>
    <xf numFmtId="14" fontId="12" fillId="0" borderId="16" xfId="0" applyNumberFormat="1" applyFont="1" applyBorder="1" applyAlignment="1" applyProtection="1">
      <alignment horizontal="center"/>
      <protection locked="0"/>
    </xf>
    <xf numFmtId="176" fontId="0" fillId="6" borderId="15" xfId="0" applyNumberFormat="1" applyFont="1" applyFill="1" applyBorder="1" applyAlignment="1" applyProtection="1">
      <alignment horizontal="center"/>
      <protection locked="0"/>
    </xf>
    <xf numFmtId="14" fontId="12" fillId="0" borderId="7" xfId="0" applyNumberFormat="1" applyFont="1" applyBorder="1" applyAlignment="1" applyProtection="1">
      <alignment horizontal="center"/>
      <protection locked="0"/>
    </xf>
    <xf numFmtId="10" fontId="0" fillId="6" borderId="16" xfId="0" applyNumberFormat="1" applyFont="1" applyFill="1" applyBorder="1" applyAlignment="1" applyProtection="1">
      <alignment horizontal="center"/>
      <protection locked="0"/>
    </xf>
    <xf numFmtId="0" fontId="0" fillId="0" borderId="0" xfId="0" applyAlignment="1" applyProtection="1">
      <alignment shrinkToFit="1"/>
      <protection locked="0"/>
    </xf>
    <xf numFmtId="166" fontId="13" fillId="0" borderId="0" xfId="0" applyNumberFormat="1" applyFont="1" applyAlignment="1">
      <alignment horizontal="center"/>
    </xf>
    <xf numFmtId="6" fontId="0" fillId="0" borderId="39" xfId="0" applyNumberFormat="1" applyBorder="1" applyAlignment="1">
      <alignment horizontal="center"/>
    </xf>
    <xf numFmtId="0" fontId="12" fillId="2" borderId="9" xfId="0" applyFont="1" applyFill="1" applyBorder="1" applyAlignment="1">
      <alignment horizontal="center"/>
    </xf>
    <xf numFmtId="0" fontId="12" fillId="0" borderId="0" xfId="0" applyFont="1" applyAlignment="1">
      <alignment horizontal="center"/>
    </xf>
    <xf numFmtId="6" fontId="0" fillId="0" borderId="6" xfId="0" applyNumberFormat="1" applyBorder="1" applyAlignment="1">
      <alignment horizontal="center"/>
    </xf>
    <xf numFmtId="6" fontId="0" fillId="0" borderId="16" xfId="0" applyNumberFormat="1" applyBorder="1" applyAlignment="1">
      <alignment horizontal="center"/>
    </xf>
    <xf numFmtId="166" fontId="58" fillId="0" borderId="1" xfId="0" applyNumberFormat="1" applyFont="1" applyBorder="1" applyAlignment="1">
      <alignment horizontal="center"/>
    </xf>
    <xf numFmtId="166" fontId="58" fillId="0" borderId="2" xfId="0" applyNumberFormat="1" applyFont="1" applyBorder="1" applyAlignment="1">
      <alignment horizontal="center"/>
    </xf>
    <xf numFmtId="166" fontId="58" fillId="0" borderId="14" xfId="0" applyNumberFormat="1" applyFont="1" applyBorder="1" applyAlignment="1">
      <alignment horizontal="center"/>
    </xf>
    <xf numFmtId="10" fontId="10" fillId="0" borderId="19" xfId="2" applyNumberFormat="1" applyFont="1" applyBorder="1" applyAlignment="1">
      <alignment horizontal="center"/>
    </xf>
    <xf numFmtId="0" fontId="42" fillId="5" borderId="0" xfId="0" applyFont="1" applyFill="1" applyAlignment="1">
      <alignment horizontal="right"/>
    </xf>
    <xf numFmtId="14" fontId="8" fillId="0" borderId="0" xfId="0" applyNumberFormat="1" applyFont="1" applyBorder="1" applyAlignment="1" applyProtection="1">
      <alignment horizontal="center"/>
      <protection locked="0"/>
    </xf>
    <xf numFmtId="0" fontId="23" fillId="5" borderId="0" xfId="0" applyFont="1" applyFill="1" applyAlignment="1" applyProtection="1">
      <protection locked="0"/>
    </xf>
    <xf numFmtId="0" fontId="24" fillId="5" borderId="0" xfId="0" applyFont="1" applyFill="1" applyAlignment="1" applyProtection="1">
      <protection locked="0"/>
    </xf>
    <xf numFmtId="0" fontId="20" fillId="0" borderId="0" xfId="0" applyFont="1" applyFill="1" applyAlignment="1" applyProtection="1">
      <alignment vertical="top"/>
      <protection locked="0"/>
    </xf>
    <xf numFmtId="0" fontId="39" fillId="0" borderId="17" xfId="0" applyFont="1" applyBorder="1" applyProtection="1">
      <protection locked="0"/>
    </xf>
    <xf numFmtId="0" fontId="39" fillId="0" borderId="18" xfId="0" applyFont="1" applyBorder="1" applyProtection="1">
      <protection locked="0"/>
    </xf>
    <xf numFmtId="0" fontId="40" fillId="0" borderId="18" xfId="0" applyFont="1" applyBorder="1" applyProtection="1">
      <protection locked="0"/>
    </xf>
    <xf numFmtId="0" fontId="39" fillId="0" borderId="19" xfId="0" applyFont="1" applyBorder="1" applyProtection="1">
      <protection locked="0"/>
    </xf>
    <xf numFmtId="0" fontId="37" fillId="0" borderId="0" xfId="0" applyFont="1" applyFill="1" applyAlignment="1" applyProtection="1">
      <alignment vertical="top" wrapText="1"/>
      <protection locked="0"/>
    </xf>
    <xf numFmtId="0" fontId="0" fillId="0" borderId="45" xfId="0" applyBorder="1" applyProtection="1">
      <protection locked="0"/>
    </xf>
    <xf numFmtId="0" fontId="0" fillId="0" borderId="47" xfId="0" applyBorder="1" applyProtection="1">
      <protection locked="0"/>
    </xf>
    <xf numFmtId="0" fontId="12" fillId="0" borderId="0" xfId="0" applyFont="1"/>
    <xf numFmtId="0" fontId="59" fillId="5" borderId="43" xfId="0" applyFont="1" applyFill="1" applyBorder="1" applyAlignment="1" applyProtection="1">
      <alignment horizontal="center"/>
      <protection locked="0"/>
    </xf>
    <xf numFmtId="0" fontId="59" fillId="5" borderId="44" xfId="0" applyFont="1" applyFill="1" applyBorder="1" applyAlignment="1" applyProtection="1">
      <alignment horizontal="center"/>
      <protection locked="0"/>
    </xf>
    <xf numFmtId="0" fontId="0" fillId="0" borderId="46" xfId="0" applyBorder="1" applyAlignment="1" applyProtection="1">
      <alignment wrapText="1"/>
      <protection locked="0"/>
    </xf>
    <xf numFmtId="0" fontId="0" fillId="0" borderId="48" xfId="0" applyBorder="1" applyAlignment="1" applyProtection="1">
      <alignment wrapText="1"/>
      <protection locked="0"/>
    </xf>
    <xf numFmtId="6" fontId="33" fillId="2" borderId="3" xfId="1" applyNumberFormat="1" applyFont="1" applyFill="1" applyBorder="1" applyAlignment="1">
      <alignment horizontal="center"/>
    </xf>
    <xf numFmtId="0" fontId="60" fillId="0" borderId="0" xfId="0" applyFont="1"/>
    <xf numFmtId="180" fontId="44" fillId="0" borderId="0" xfId="0" applyNumberFormat="1" applyFont="1" applyAlignment="1">
      <alignment horizontal="center"/>
    </xf>
    <xf numFmtId="10" fontId="6" fillId="5" borderId="6" xfId="0" applyNumberFormat="1" applyFont="1" applyFill="1" applyBorder="1" applyAlignment="1">
      <alignment horizontal="center"/>
    </xf>
    <xf numFmtId="182" fontId="6" fillId="0" borderId="0" xfId="3" applyNumberFormat="1" applyFont="1" applyAlignment="1">
      <alignment horizontal="center"/>
    </xf>
    <xf numFmtId="9" fontId="6" fillId="0" borderId="0" xfId="3" applyNumberFormat="1" applyFont="1" applyAlignment="1">
      <alignment horizontal="center"/>
    </xf>
    <xf numFmtId="10" fontId="2" fillId="0" borderId="5" xfId="0" applyNumberFormat="1" applyFont="1" applyBorder="1" applyAlignment="1">
      <alignment horizontal="center"/>
    </xf>
    <xf numFmtId="10" fontId="62" fillId="0" borderId="0" xfId="0" applyNumberFormat="1" applyFont="1"/>
    <xf numFmtId="165" fontId="0" fillId="0" borderId="0" xfId="2" applyNumberFormat="1" applyFont="1" applyAlignment="1">
      <alignment horizontal="center"/>
    </xf>
    <xf numFmtId="181" fontId="0" fillId="0" borderId="0" xfId="4" applyNumberFormat="1" applyFont="1" applyAlignment="1">
      <alignment horizontal="center"/>
    </xf>
    <xf numFmtId="9" fontId="0" fillId="0" borderId="7" xfId="0" applyNumberFormat="1" applyBorder="1" applyAlignment="1">
      <alignment horizontal="center"/>
    </xf>
    <xf numFmtId="9" fontId="12" fillId="0" borderId="7" xfId="0" applyNumberFormat="1" applyFont="1" applyBorder="1" applyAlignment="1">
      <alignment horizontal="center"/>
    </xf>
    <xf numFmtId="0" fontId="15" fillId="0" borderId="0" xfId="0" applyFont="1" applyAlignment="1">
      <alignment horizontal="center"/>
    </xf>
    <xf numFmtId="0" fontId="8" fillId="0" borderId="0" xfId="0" applyNumberFormat="1" applyFont="1" applyBorder="1" applyAlignment="1">
      <alignment horizontal="center"/>
    </xf>
    <xf numFmtId="0" fontId="43" fillId="5" borderId="14" xfId="0" applyFont="1" applyFill="1" applyBorder="1" applyAlignment="1" applyProtection="1">
      <alignment horizontal="center"/>
      <protection locked="0"/>
    </xf>
    <xf numFmtId="0" fontId="20" fillId="5" borderId="0" xfId="0" applyFont="1" applyFill="1" applyAlignment="1" applyProtection="1">
      <protection locked="0"/>
    </xf>
    <xf numFmtId="0" fontId="20" fillId="0" borderId="0" xfId="0" applyFont="1" applyFill="1" applyAlignment="1"/>
    <xf numFmtId="0" fontId="0" fillId="0" borderId="0" xfId="0" applyFill="1" applyAlignment="1"/>
    <xf numFmtId="0" fontId="0" fillId="5" borderId="0" xfId="0" applyFill="1" applyAlignment="1" applyProtection="1">
      <protection locked="0"/>
    </xf>
    <xf numFmtId="0" fontId="0" fillId="0" borderId="0" xfId="0" applyAlignment="1" applyProtection="1">
      <protection locked="0"/>
    </xf>
    <xf numFmtId="0" fontId="9" fillId="0" borderId="0" xfId="0" applyFont="1" applyAlignment="1" applyProtection="1">
      <protection locked="0"/>
    </xf>
    <xf numFmtId="0" fontId="22" fillId="0" borderId="0" xfId="0" applyFont="1" applyAlignment="1"/>
    <xf numFmtId="0" fontId="0" fillId="0" borderId="3" xfId="0" applyBorder="1" applyAlignment="1" applyProtection="1">
      <protection locked="0"/>
    </xf>
    <xf numFmtId="0" fontId="0" fillId="0" borderId="15" xfId="0" applyBorder="1" applyAlignment="1" applyProtection="1">
      <protection locked="0"/>
    </xf>
    <xf numFmtId="0" fontId="0" fillId="0" borderId="6" xfId="0" applyBorder="1" applyAlignment="1" applyProtection="1">
      <protection locked="0"/>
    </xf>
    <xf numFmtId="0" fontId="0" fillId="0" borderId="15" xfId="0" applyFill="1" applyBorder="1" applyAlignment="1" applyProtection="1">
      <protection locked="0"/>
    </xf>
    <xf numFmtId="0" fontId="2" fillId="0" borderId="3" xfId="0" applyFont="1" applyBorder="1" applyAlignment="1" applyProtection="1">
      <protection locked="0"/>
    </xf>
    <xf numFmtId="0" fontId="0" fillId="0" borderId="0" xfId="0" applyFill="1" applyAlignment="1" applyProtection="1">
      <protection locked="0"/>
    </xf>
    <xf numFmtId="0" fontId="9" fillId="0" borderId="3" xfId="0" applyFont="1" applyBorder="1" applyAlignment="1" applyProtection="1">
      <protection locked="0"/>
    </xf>
    <xf numFmtId="164" fontId="0" fillId="0" borderId="0" xfId="1" applyNumberFormat="1" applyFont="1" applyBorder="1" applyAlignment="1" applyProtection="1">
      <protection locked="0"/>
    </xf>
    <xf numFmtId="0" fontId="0" fillId="0" borderId="3" xfId="0" applyFont="1" applyBorder="1" applyAlignment="1" applyProtection="1">
      <protection locked="0"/>
    </xf>
    <xf numFmtId="164" fontId="12" fillId="0" borderId="15" xfId="1" applyNumberFormat="1" applyFont="1" applyFill="1" applyBorder="1" applyAlignment="1" applyProtection="1">
      <protection locked="0"/>
    </xf>
    <xf numFmtId="164" fontId="16" fillId="0" borderId="0" xfId="1" applyNumberFormat="1" applyFont="1" applyAlignment="1" applyProtection="1">
      <protection locked="0"/>
    </xf>
    <xf numFmtId="164" fontId="10" fillId="0" borderId="15" xfId="1" applyNumberFormat="1" applyFont="1" applyBorder="1" applyAlignment="1" applyProtection="1">
      <protection locked="0"/>
    </xf>
    <xf numFmtId="164" fontId="12" fillId="0" borderId="0" xfId="1" applyNumberFormat="1" applyFont="1" applyBorder="1" applyAlignment="1" applyProtection="1">
      <protection locked="0"/>
    </xf>
    <xf numFmtId="0" fontId="12" fillId="0" borderId="31" xfId="0" applyFont="1" applyFill="1" applyBorder="1" applyAlignment="1" applyProtection="1">
      <protection locked="0"/>
    </xf>
    <xf numFmtId="164" fontId="8" fillId="0" borderId="10" xfId="1" applyNumberFormat="1" applyFont="1" applyBorder="1" applyAlignment="1" applyProtection="1">
      <protection locked="0"/>
    </xf>
    <xf numFmtId="0" fontId="0" fillId="0" borderId="0" xfId="0" applyFill="1" applyBorder="1" applyAlignment="1" applyProtection="1">
      <protection locked="0"/>
    </xf>
    <xf numFmtId="164" fontId="0" fillId="6" borderId="15" xfId="1" applyNumberFormat="1" applyFont="1" applyFill="1" applyBorder="1" applyAlignment="1" applyProtection="1">
      <protection locked="0"/>
    </xf>
    <xf numFmtId="0" fontId="0" fillId="0" borderId="3" xfId="0" applyFill="1" applyBorder="1" applyAlignment="1" applyProtection="1">
      <protection locked="0"/>
    </xf>
    <xf numFmtId="0" fontId="2" fillId="0" borderId="11" xfId="0" applyFont="1" applyBorder="1" applyAlignment="1" applyProtection="1">
      <protection locked="0"/>
    </xf>
    <xf numFmtId="164" fontId="2" fillId="6" borderId="13" xfId="1" applyNumberFormat="1" applyFont="1" applyFill="1" applyBorder="1" applyAlignment="1" applyProtection="1">
      <protection locked="0"/>
    </xf>
    <xf numFmtId="0" fontId="0" fillId="0" borderId="7" xfId="0" applyFill="1" applyBorder="1" applyAlignment="1" applyProtection="1">
      <protection locked="0"/>
    </xf>
    <xf numFmtId="0" fontId="0" fillId="0" borderId="16" xfId="0" applyFill="1" applyBorder="1" applyAlignment="1" applyProtection="1">
      <protection locked="0"/>
    </xf>
    <xf numFmtId="0" fontId="0" fillId="0" borderId="0" xfId="0" applyFont="1" applyAlignment="1" applyProtection="1">
      <protection locked="0"/>
    </xf>
    <xf numFmtId="164" fontId="11" fillId="0" borderId="0" xfId="1" applyNumberFormat="1" applyFont="1" applyBorder="1" applyAlignment="1" applyProtection="1">
      <protection locked="0"/>
    </xf>
    <xf numFmtId="0" fontId="6" fillId="0" borderId="3" xfId="0" applyFont="1" applyBorder="1" applyAlignment="1" applyProtection="1">
      <protection locked="0"/>
    </xf>
    <xf numFmtId="164" fontId="6" fillId="0" borderId="0" xfId="1" applyNumberFormat="1" applyFont="1" applyBorder="1" applyAlignment="1" applyProtection="1">
      <protection locked="0"/>
    </xf>
    <xf numFmtId="0" fontId="2" fillId="0" borderId="29" xfId="0" applyFont="1" applyBorder="1" applyAlignment="1" applyProtection="1">
      <protection locked="0"/>
    </xf>
    <xf numFmtId="164" fontId="2" fillId="0" borderId="5" xfId="1" applyNumberFormat="1" applyFont="1" applyBorder="1" applyAlignment="1" applyProtection="1">
      <protection locked="0"/>
    </xf>
    <xf numFmtId="164" fontId="14" fillId="0" borderId="5" xfId="1" applyNumberFormat="1" applyFont="1" applyBorder="1" applyAlignment="1" applyProtection="1">
      <protection locked="0"/>
    </xf>
    <xf numFmtId="10" fontId="2" fillId="0" borderId="5" xfId="0" applyNumberFormat="1" applyFont="1" applyBorder="1" applyAlignment="1" applyProtection="1">
      <protection locked="0"/>
    </xf>
    <xf numFmtId="164" fontId="0" fillId="0" borderId="7" xfId="0" applyNumberFormat="1" applyBorder="1" applyAlignment="1" applyProtection="1">
      <protection locked="0"/>
    </xf>
    <xf numFmtId="0" fontId="0" fillId="0" borderId="16" xfId="0" applyBorder="1" applyAlignment="1" applyProtection="1">
      <protection locked="0"/>
    </xf>
    <xf numFmtId="0" fontId="57" fillId="5" borderId="0" xfId="0" applyFont="1" applyFill="1" applyAlignment="1" applyProtection="1">
      <protection locked="0"/>
    </xf>
    <xf numFmtId="0" fontId="12" fillId="0" borderId="3" xfId="0" applyFont="1" applyBorder="1" applyAlignment="1" applyProtection="1">
      <protection locked="0"/>
    </xf>
    <xf numFmtId="0" fontId="6" fillId="0" borderId="0" xfId="0" applyFont="1" applyFill="1" applyBorder="1" applyAlignment="1" applyProtection="1">
      <alignment horizontal="center"/>
      <protection locked="0"/>
    </xf>
    <xf numFmtId="170" fontId="6" fillId="0" borderId="0" xfId="0" applyNumberFormat="1" applyFont="1" applyFill="1" applyBorder="1" applyAlignment="1" applyProtection="1">
      <alignment horizontal="center"/>
      <protection locked="0"/>
    </xf>
    <xf numFmtId="6" fontId="6" fillId="0" borderId="0" xfId="0" applyNumberFormat="1" applyFont="1" applyFill="1" applyBorder="1" applyAlignment="1" applyProtection="1">
      <alignment horizontal="center"/>
      <protection locked="0"/>
    </xf>
    <xf numFmtId="9" fontId="11"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locked="0"/>
    </xf>
    <xf numFmtId="0" fontId="2" fillId="0" borderId="31" xfId="0" applyFont="1" applyBorder="1" applyAlignment="1" applyProtection="1">
      <protection locked="0"/>
    </xf>
    <xf numFmtId="0" fontId="2" fillId="0" borderId="10" xfId="0" applyFont="1" applyBorder="1" applyAlignment="1" applyProtection="1">
      <alignment horizontal="center"/>
      <protection locked="0"/>
    </xf>
    <xf numFmtId="170" fontId="2" fillId="0" borderId="10" xfId="0" applyNumberFormat="1" applyFont="1" applyBorder="1" applyAlignment="1" applyProtection="1">
      <alignment horizontal="center"/>
      <protection locked="0"/>
    </xf>
    <xf numFmtId="6" fontId="2" fillId="0" borderId="10" xfId="0" applyNumberFormat="1" applyFont="1" applyBorder="1" applyAlignment="1" applyProtection="1">
      <alignment horizontal="center"/>
      <protection locked="0"/>
    </xf>
    <xf numFmtId="10" fontId="2" fillId="0" borderId="32" xfId="0" applyNumberFormat="1" applyFont="1" applyBorder="1" applyAlignment="1" applyProtection="1">
      <alignment horizontal="center"/>
      <protection locked="0"/>
    </xf>
    <xf numFmtId="10" fontId="12" fillId="0" borderId="16" xfId="0" applyNumberFormat="1" applyFont="1" applyBorder="1" applyAlignment="1" applyProtection="1">
      <alignment horizontal="center"/>
      <protection locked="0"/>
    </xf>
    <xf numFmtId="9" fontId="12" fillId="0" borderId="0" xfId="0" applyNumberFormat="1" applyFont="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2" fillId="0" borderId="7" xfId="0" applyFont="1" applyBorder="1" applyAlignment="1" applyProtection="1">
      <alignment horizontal="center"/>
      <protection locked="0"/>
    </xf>
    <xf numFmtId="183" fontId="17" fillId="0" borderId="1" xfId="0" applyNumberFormat="1" applyFont="1" applyBorder="1" applyAlignment="1">
      <alignment horizontal="center"/>
    </xf>
    <xf numFmtId="183" fontId="35" fillId="5" borderId="2" xfId="0" applyNumberFormat="1" applyFont="1" applyFill="1" applyBorder="1" applyAlignment="1">
      <alignment horizontal="center"/>
    </xf>
    <xf numFmtId="184" fontId="0" fillId="0" borderId="3" xfId="0" applyNumberFormat="1" applyBorder="1" applyAlignment="1" applyProtection="1">
      <alignment horizontal="left"/>
      <protection locked="0"/>
    </xf>
    <xf numFmtId="185" fontId="0" fillId="0" borderId="0" xfId="0" applyNumberFormat="1" applyFont="1" applyAlignment="1">
      <alignment horizontal="center"/>
    </xf>
    <xf numFmtId="10" fontId="0" fillId="0" borderId="0" xfId="0" applyNumberFormat="1" applyBorder="1" applyAlignment="1" applyProtection="1">
      <alignment horizontal="right"/>
      <protection locked="0"/>
    </xf>
    <xf numFmtId="180" fontId="0" fillId="0" borderId="0" xfId="2" applyNumberFormat="1" applyFont="1"/>
    <xf numFmtId="10" fontId="5" fillId="0" borderId="0" xfId="0" applyNumberFormat="1" applyFont="1"/>
    <xf numFmtId="6" fontId="12" fillId="0" borderId="15" xfId="0" applyNumberFormat="1" applyFont="1" applyBorder="1" applyAlignment="1" applyProtection="1">
      <alignment horizontal="center"/>
      <protection locked="0"/>
    </xf>
    <xf numFmtId="6" fontId="46" fillId="2" borderId="3" xfId="1" applyNumberFormat="1" applyFont="1" applyFill="1" applyBorder="1" applyAlignment="1">
      <alignment horizontal="center"/>
    </xf>
    <xf numFmtId="9" fontId="0" fillId="0" borderId="0" xfId="0" applyNumberFormat="1" applyAlignment="1">
      <alignment horizontal="left"/>
    </xf>
    <xf numFmtId="43" fontId="0" fillId="0" borderId="18" xfId="2" applyNumberFormat="1" applyFont="1" applyBorder="1"/>
    <xf numFmtId="0" fontId="0" fillId="0" borderId="0" xfId="0" applyFill="1" applyBorder="1" applyAlignment="1"/>
    <xf numFmtId="186" fontId="0" fillId="0" borderId="0" xfId="0" applyNumberFormat="1" applyAlignment="1">
      <alignment horizontal="center"/>
    </xf>
    <xf numFmtId="186" fontId="0" fillId="10" borderId="0" xfId="0" applyNumberFormat="1" applyFill="1" applyAlignment="1">
      <alignment horizontal="center"/>
    </xf>
    <xf numFmtId="187" fontId="6" fillId="0" borderId="0" xfId="0" applyNumberFormat="1" applyFont="1" applyAlignment="1">
      <alignment horizontal="left"/>
    </xf>
    <xf numFmtId="165" fontId="62" fillId="0" borderId="0" xfId="0" applyNumberFormat="1" applyFont="1"/>
    <xf numFmtId="0" fontId="43" fillId="5" borderId="0" xfId="0" applyFont="1" applyFill="1" applyBorder="1" applyAlignment="1" applyProtection="1">
      <alignment horizontal="center"/>
      <protection locked="0"/>
    </xf>
    <xf numFmtId="10" fontId="0" fillId="0" borderId="0" xfId="0" applyNumberFormat="1" applyBorder="1" applyAlignment="1" applyProtection="1">
      <alignment horizontal="center"/>
      <protection locked="0"/>
    </xf>
    <xf numFmtId="0" fontId="0" fillId="0" borderId="15" xfId="0" applyBorder="1" applyAlignment="1" applyProtection="1">
      <alignment horizontal="left"/>
      <protection locked="0"/>
    </xf>
    <xf numFmtId="0" fontId="6" fillId="0" borderId="16"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10" fontId="10" fillId="0" borderId="0" xfId="2" applyNumberFormat="1" applyFont="1" applyBorder="1" applyAlignment="1">
      <alignment horizontal="center"/>
    </xf>
    <xf numFmtId="186" fontId="0" fillId="0" borderId="0" xfId="0" applyNumberFormat="1"/>
    <xf numFmtId="0" fontId="0" fillId="2" borderId="0" xfId="0" applyFill="1"/>
    <xf numFmtId="0" fontId="0" fillId="0" borderId="0" xfId="0" quotePrefix="1"/>
    <xf numFmtId="9" fontId="0" fillId="0" borderId="0" xfId="0" applyNumberFormat="1"/>
    <xf numFmtId="0" fontId="6" fillId="2" borderId="0" xfId="0" applyFont="1" applyFill="1"/>
    <xf numFmtId="14" fontId="6" fillId="2" borderId="0" xfId="0" applyNumberFormat="1" applyFont="1" applyFill="1"/>
    <xf numFmtId="9" fontId="6" fillId="2" borderId="0" xfId="0" applyNumberFormat="1" applyFont="1" applyFill="1"/>
    <xf numFmtId="188" fontId="0" fillId="0" borderId="0" xfId="0" applyNumberFormat="1"/>
    <xf numFmtId="44" fontId="6" fillId="2" borderId="0" xfId="1" applyFont="1" applyFill="1"/>
    <xf numFmtId="164" fontId="6" fillId="2" borderId="0" xfId="1" applyNumberFormat="1" applyFont="1" applyFill="1"/>
    <xf numFmtId="165" fontId="6" fillId="2" borderId="0" xfId="2" applyNumberFormat="1" applyFont="1" applyFill="1"/>
    <xf numFmtId="10" fontId="6" fillId="2" borderId="0" xfId="1" applyNumberFormat="1" applyFont="1" applyFill="1"/>
    <xf numFmtId="164" fontId="0" fillId="0" borderId="0" xfId="1" applyNumberFormat="1" applyFont="1"/>
    <xf numFmtId="165" fontId="0" fillId="0" borderId="0" xfId="0" applyNumberFormat="1"/>
    <xf numFmtId="164" fontId="0" fillId="0" borderId="0" xfId="0" applyNumberFormat="1"/>
    <xf numFmtId="164" fontId="5" fillId="0" borderId="0" xfId="1" applyNumberFormat="1" applyFont="1" applyFill="1"/>
    <xf numFmtId="9" fontId="6" fillId="2" borderId="0" xfId="4" applyFont="1" applyFill="1"/>
    <xf numFmtId="0" fontId="42" fillId="5" borderId="40" xfId="0" applyFont="1" applyFill="1" applyBorder="1" applyAlignment="1" applyProtection="1">
      <alignment horizontal="center" vertical="top"/>
      <protection locked="0"/>
    </xf>
    <xf numFmtId="0" fontId="42" fillId="5" borderId="41" xfId="0" applyFont="1" applyFill="1" applyBorder="1" applyAlignment="1" applyProtection="1">
      <alignment horizontal="center" vertical="top"/>
      <protection locked="0"/>
    </xf>
    <xf numFmtId="0" fontId="42" fillId="5" borderId="42" xfId="0" applyFont="1" applyFill="1" applyBorder="1" applyAlignment="1" applyProtection="1">
      <alignment horizontal="center" vertical="top"/>
      <protection locked="0"/>
    </xf>
    <xf numFmtId="0" fontId="37" fillId="5" borderId="3" xfId="0" applyFont="1" applyFill="1" applyBorder="1" applyAlignment="1" applyProtection="1">
      <alignment horizontal="left" vertical="top" wrapText="1"/>
      <protection locked="0"/>
    </xf>
    <xf numFmtId="0" fontId="37" fillId="5" borderId="0" xfId="0" applyFont="1" applyFill="1" applyBorder="1" applyAlignment="1" applyProtection="1">
      <alignment horizontal="left" vertical="top" wrapText="1"/>
      <protection locked="0"/>
    </xf>
    <xf numFmtId="0" fontId="37" fillId="5" borderId="11" xfId="0" applyFont="1" applyFill="1" applyBorder="1" applyAlignment="1" applyProtection="1">
      <alignment horizontal="left" vertical="top" wrapText="1"/>
      <protection locked="0"/>
    </xf>
    <xf numFmtId="0" fontId="37" fillId="5" borderId="12" xfId="0" applyFont="1" applyFill="1" applyBorder="1" applyAlignment="1" applyProtection="1">
      <alignment horizontal="left" vertical="top" wrapText="1"/>
      <protection locked="0"/>
    </xf>
    <xf numFmtId="0" fontId="37" fillId="5" borderId="13"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7" xfId="0" applyFont="1" applyFill="1" applyBorder="1" applyAlignment="1" applyProtection="1">
      <alignment horizontal="left"/>
      <protection locked="0"/>
    </xf>
    <xf numFmtId="0" fontId="0" fillId="0" borderId="6" xfId="0" applyBorder="1" applyAlignment="1" applyProtection="1">
      <alignment horizontal="left" shrinkToFit="1"/>
      <protection locked="0"/>
    </xf>
    <xf numFmtId="0" fontId="0" fillId="0" borderId="7" xfId="0" applyBorder="1" applyAlignment="1" applyProtection="1">
      <alignment horizontal="left" shrinkToFit="1"/>
      <protection locked="0"/>
    </xf>
    <xf numFmtId="0" fontId="43" fillId="5" borderId="1" xfId="0" applyFont="1" applyFill="1" applyBorder="1" applyAlignment="1" applyProtection="1">
      <alignment horizontal="center"/>
      <protection locked="0"/>
    </xf>
    <xf numFmtId="0" fontId="43" fillId="5" borderId="14" xfId="0" applyFont="1" applyFill="1" applyBorder="1" applyAlignment="1" applyProtection="1">
      <alignment horizontal="center"/>
      <protection locked="0"/>
    </xf>
    <xf numFmtId="0" fontId="0" fillId="0" borderId="3" xfId="0" applyBorder="1" applyAlignment="1" applyProtection="1">
      <alignment horizontal="left" shrinkToFit="1"/>
      <protection locked="0"/>
    </xf>
    <xf numFmtId="0" fontId="0" fillId="0" borderId="0" xfId="0" applyBorder="1" applyAlignment="1" applyProtection="1">
      <alignment horizontal="left" shrinkToFit="1"/>
      <protection locked="0"/>
    </xf>
    <xf numFmtId="0" fontId="0" fillId="0" borderId="3"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6" xfId="0" applyBorder="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54" fillId="5" borderId="18" xfId="0" applyFont="1" applyFill="1" applyBorder="1" applyAlignment="1">
      <alignment horizontal="center" vertical="center" textRotation="90" shrinkToFit="1"/>
    </xf>
    <xf numFmtId="0" fontId="54" fillId="0" borderId="18" xfId="0" applyFont="1" applyBorder="1" applyAlignment="1">
      <alignment horizontal="center" vertical="center" textRotation="90" shrinkToFit="1"/>
    </xf>
    <xf numFmtId="0" fontId="51" fillId="5" borderId="23" xfId="0" applyFont="1" applyFill="1" applyBorder="1" applyAlignment="1">
      <alignment horizontal="center"/>
    </xf>
    <xf numFmtId="0" fontId="51" fillId="5" borderId="24" xfId="0" applyFont="1" applyFill="1" applyBorder="1" applyAlignment="1">
      <alignment horizontal="center"/>
    </xf>
    <xf numFmtId="0" fontId="25" fillId="5" borderId="1" xfId="0" applyFont="1" applyFill="1" applyBorder="1" applyAlignment="1">
      <alignment horizontal="left"/>
    </xf>
    <xf numFmtId="0" fontId="25" fillId="5" borderId="2" xfId="0" applyFont="1" applyFill="1" applyBorder="1" applyAlignment="1">
      <alignment horizontal="left"/>
    </xf>
    <xf numFmtId="0" fontId="25" fillId="5" borderId="3" xfId="0" applyFont="1" applyFill="1" applyBorder="1" applyAlignment="1">
      <alignment horizontal="left"/>
    </xf>
    <xf numFmtId="0" fontId="25" fillId="5" borderId="0" xfId="0" applyFont="1" applyFill="1" applyBorder="1" applyAlignment="1">
      <alignment horizontal="left"/>
    </xf>
    <xf numFmtId="0" fontId="15" fillId="0" borderId="0" xfId="0" applyFont="1" applyAlignment="1">
      <alignment horizontal="center"/>
    </xf>
    <xf numFmtId="166" fontId="15" fillId="10" borderId="0" xfId="0" applyNumberFormat="1" applyFont="1" applyFill="1" applyAlignment="1">
      <alignment horizontal="center" vertical="center" textRotation="90" shrinkToFit="1"/>
    </xf>
    <xf numFmtId="166" fontId="15" fillId="0" borderId="0" xfId="0" applyNumberFormat="1" applyFont="1" applyAlignment="1">
      <alignment horizontal="center" vertical="center" textRotation="90" shrinkToFit="1"/>
    </xf>
    <xf numFmtId="0" fontId="15" fillId="0" borderId="0" xfId="0" applyFont="1" applyAlignment="1">
      <alignment horizontal="center" vertical="center" textRotation="90" shrinkToFit="1"/>
    </xf>
    <xf numFmtId="0" fontId="15" fillId="0" borderId="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4" fillId="0" borderId="0" xfId="0" applyFont="1" applyAlignment="1">
      <alignment horizontal="center"/>
    </xf>
    <xf numFmtId="0" fontId="13" fillId="0" borderId="0" xfId="0" applyFont="1" applyAlignment="1">
      <alignment horizontal="center"/>
    </xf>
    <xf numFmtId="0" fontId="21" fillId="5" borderId="0" xfId="0" applyFont="1" applyFill="1" applyAlignment="1">
      <alignment horizontal="center"/>
    </xf>
  </cellXfs>
  <cellStyles count="5">
    <cellStyle name="Comma" xfId="2" builtinId="3"/>
    <cellStyle name="Currency" xfId="1" builtinId="4"/>
    <cellStyle name="Normal" xfId="0" builtinId="0"/>
    <cellStyle name="Normal_Crossroads Pro Forma 6.28.08" xfId="3" xr:uid="{00000000-0005-0000-0000-000003000000}"/>
    <cellStyle name="Percent" xfId="4" builtinId="5"/>
  </cellStyles>
  <dxfs count="12">
    <dxf>
      <font>
        <color rgb="FF006100"/>
      </font>
      <fill>
        <patternFill>
          <bgColor rgb="FFC6EFCE"/>
        </patternFill>
      </fill>
    </dxf>
    <dxf>
      <font>
        <b/>
        <i val="0"/>
        <color rgb="FFFF0000"/>
      </font>
      <fill>
        <patternFill>
          <bgColor rgb="FFFFFF00"/>
        </patternFill>
      </fill>
    </dxf>
    <dxf>
      <fill>
        <patternFill>
          <bgColor rgb="FFFFFF00"/>
        </patternFill>
      </fill>
    </dxf>
    <dxf>
      <font>
        <color rgb="FF0000FF"/>
      </font>
    </dxf>
    <dxf>
      <font>
        <color rgb="FF0000FF"/>
      </font>
    </dxf>
    <dxf>
      <font>
        <color theme="0" tint="-0.499984740745262"/>
      </font>
      <fill>
        <patternFill>
          <bgColor theme="0" tint="-0.499984740745262"/>
        </patternFill>
      </fill>
    </dxf>
    <dxf>
      <font>
        <color rgb="FFFF0000"/>
      </font>
    </dxf>
    <dxf>
      <font>
        <color rgb="FF339933"/>
      </font>
    </dxf>
    <dxf>
      <font>
        <color rgb="FFFF0000"/>
      </font>
    </dxf>
    <dxf>
      <font>
        <color rgb="FF339933"/>
      </font>
    </dxf>
    <dxf>
      <font>
        <color rgb="FF9C0006"/>
      </font>
      <fill>
        <patternFill>
          <bgColor rgb="FFFFC7CE"/>
        </patternFill>
      </fill>
    </dxf>
    <dxf>
      <font>
        <b/>
        <i val="0"/>
        <color rgb="FFFF0000"/>
      </font>
      <fill>
        <patternFill>
          <bgColor rgb="FFFFFF00"/>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showGridLines="0" workbookViewId="0">
      <selection activeCell="C8" sqref="C8"/>
    </sheetView>
  </sheetViews>
  <sheetFormatPr defaultRowHeight="12.75"/>
  <cols>
    <col min="1" max="1" width="9.1328125" style="66"/>
    <col min="2" max="2" width="64.33203125" style="66" bestFit="1" customWidth="1"/>
    <col min="3" max="11" width="9.1328125" style="66"/>
  </cols>
  <sheetData>
    <row r="1" spans="2:11" ht="13.15" thickBot="1"/>
    <row r="2" spans="2:11" ht="30.75" thickTop="1" thickBot="1">
      <c r="B2" s="535" t="s">
        <v>253</v>
      </c>
      <c r="C2" s="536"/>
      <c r="D2" s="536"/>
      <c r="E2" s="536"/>
      <c r="F2" s="536"/>
      <c r="G2" s="536"/>
      <c r="H2" s="536"/>
      <c r="I2" s="536"/>
      <c r="J2" s="536"/>
      <c r="K2" s="537"/>
    </row>
    <row r="3" spans="2:11" ht="3.75" customHeight="1" thickTop="1">
      <c r="B3" s="413"/>
    </row>
    <row r="4" spans="2:11" ht="141" customHeight="1">
      <c r="B4" s="538" t="s">
        <v>381</v>
      </c>
      <c r="C4" s="539"/>
      <c r="D4" s="539"/>
      <c r="E4" s="539"/>
      <c r="F4" s="539"/>
      <c r="G4" s="539"/>
      <c r="H4" s="539"/>
      <c r="I4" s="539"/>
      <c r="J4" s="539"/>
      <c r="K4" s="539"/>
    </row>
    <row r="5" spans="2:11" ht="3.75" customHeight="1"/>
    <row r="6" spans="2:11" ht="39" customHeight="1">
      <c r="B6" s="538" t="s">
        <v>382</v>
      </c>
      <c r="C6" s="539"/>
      <c r="D6" s="539"/>
      <c r="E6" s="539"/>
      <c r="F6" s="539"/>
      <c r="G6" s="539"/>
      <c r="H6" s="539"/>
      <c r="I6" s="539"/>
      <c r="J6" s="539"/>
      <c r="K6" s="539"/>
    </row>
    <row r="7" spans="2:11" ht="3.75" customHeight="1" thickBot="1"/>
    <row r="8" spans="2:11">
      <c r="B8" s="414" t="s">
        <v>256</v>
      </c>
    </row>
    <row r="9" spans="2:11">
      <c r="B9" s="415" t="s">
        <v>255</v>
      </c>
    </row>
    <row r="10" spans="2:11">
      <c r="B10" s="416" t="s">
        <v>257</v>
      </c>
    </row>
    <row r="11" spans="2:11" ht="13.15" thickBot="1">
      <c r="B11" s="417" t="s">
        <v>258</v>
      </c>
    </row>
    <row r="12" spans="2:11" ht="3.75" customHeight="1" thickBot="1"/>
    <row r="13" spans="2:11" ht="30.75" thickTop="1" thickBot="1">
      <c r="B13" s="535" t="s">
        <v>388</v>
      </c>
      <c r="C13" s="536"/>
      <c r="D13" s="536"/>
      <c r="E13" s="536"/>
      <c r="F13" s="536"/>
      <c r="G13" s="536"/>
      <c r="H13" s="536"/>
      <c r="I13" s="536"/>
      <c r="J13" s="536"/>
      <c r="K13" s="537"/>
    </row>
    <row r="14" spans="2:11" ht="3.75" customHeight="1" thickTop="1" thickBot="1">
      <c r="B14" s="418"/>
    </row>
    <row r="15" spans="2:11" ht="93" customHeight="1" thickBot="1">
      <c r="B15" s="540" t="s">
        <v>389</v>
      </c>
      <c r="C15" s="541"/>
      <c r="D15" s="541"/>
      <c r="E15" s="541"/>
      <c r="F15" s="541"/>
      <c r="G15" s="541"/>
      <c r="H15" s="541"/>
      <c r="I15" s="541"/>
      <c r="J15" s="541"/>
      <c r="K15" s="542"/>
    </row>
    <row r="16" spans="2:11" ht="3.75" customHeight="1" thickBot="1"/>
    <row r="17" spans="2:12" ht="39.75" customHeight="1" thickBot="1">
      <c r="B17" s="540" t="s">
        <v>390</v>
      </c>
      <c r="C17" s="541"/>
      <c r="D17" s="541"/>
      <c r="E17" s="541"/>
      <c r="F17" s="541"/>
      <c r="G17" s="541"/>
      <c r="H17" s="541"/>
      <c r="I17" s="541"/>
      <c r="J17" s="541"/>
      <c r="K17" s="542"/>
    </row>
    <row r="18" spans="2:12" ht="3.75" customHeight="1"/>
    <row r="19" spans="2:12" ht="66.75" customHeight="1">
      <c r="B19" s="538" t="s">
        <v>391</v>
      </c>
      <c r="C19" s="539"/>
      <c r="D19" s="539"/>
      <c r="E19" s="539"/>
      <c r="F19" s="539"/>
      <c r="G19" s="539"/>
      <c r="H19" s="539"/>
      <c r="I19" s="539"/>
      <c r="J19" s="539"/>
      <c r="K19" s="539"/>
    </row>
    <row r="20" spans="2:12" ht="3.75" customHeight="1"/>
    <row r="21" spans="2:12" ht="27" customHeight="1">
      <c r="B21" s="538" t="s">
        <v>392</v>
      </c>
      <c r="C21" s="539"/>
      <c r="D21" s="539"/>
      <c r="E21" s="539"/>
      <c r="F21" s="539"/>
      <c r="G21" s="539"/>
      <c r="H21" s="539"/>
      <c r="I21" s="539"/>
      <c r="J21" s="539"/>
      <c r="K21" s="539"/>
    </row>
    <row r="22" spans="2:12" ht="3.75" customHeight="1"/>
    <row r="23" spans="2:12" ht="90" customHeight="1">
      <c r="B23" s="538" t="s">
        <v>393</v>
      </c>
      <c r="C23" s="539"/>
      <c r="D23" s="539"/>
      <c r="E23" s="539"/>
      <c r="F23" s="539"/>
      <c r="G23" s="539"/>
      <c r="H23" s="539"/>
      <c r="I23" s="539"/>
      <c r="J23" s="539"/>
      <c r="K23" s="539"/>
    </row>
    <row r="24" spans="2:12" ht="3.75" customHeight="1"/>
    <row r="25" spans="2:12" ht="27" customHeight="1">
      <c r="B25" s="538" t="s">
        <v>394</v>
      </c>
      <c r="C25" s="539"/>
      <c r="D25" s="539"/>
      <c r="E25" s="539"/>
      <c r="F25" s="539"/>
      <c r="G25" s="539"/>
      <c r="H25" s="539"/>
      <c r="I25" s="539"/>
      <c r="J25" s="539"/>
      <c r="K25" s="539"/>
    </row>
    <row r="26" spans="2:12" ht="3.75" customHeight="1"/>
    <row r="27" spans="2:12" ht="51" customHeight="1">
      <c r="B27" s="538" t="s">
        <v>395</v>
      </c>
      <c r="C27" s="539"/>
      <c r="D27" s="539"/>
      <c r="E27" s="539"/>
      <c r="F27" s="539"/>
      <c r="G27" s="539"/>
      <c r="H27" s="539"/>
      <c r="I27" s="539"/>
      <c r="J27" s="539"/>
      <c r="K27" s="539"/>
    </row>
    <row r="28" spans="2:12" ht="3.75" customHeight="1"/>
    <row r="29" spans="2:12" ht="39.75" customHeight="1">
      <c r="B29" s="538" t="s">
        <v>396</v>
      </c>
      <c r="C29" s="539"/>
      <c r="D29" s="539"/>
      <c r="E29" s="539"/>
      <c r="F29" s="539"/>
      <c r="G29" s="539"/>
      <c r="H29" s="539"/>
      <c r="I29" s="539"/>
      <c r="J29" s="539"/>
      <c r="K29" s="539"/>
      <c r="L29" t="s">
        <v>397</v>
      </c>
    </row>
  </sheetData>
  <mergeCells count="12">
    <mergeCell ref="B27:K27"/>
    <mergeCell ref="B29:K29"/>
    <mergeCell ref="B17:K17"/>
    <mergeCell ref="B19:K19"/>
    <mergeCell ref="B21:K21"/>
    <mergeCell ref="B23:K23"/>
    <mergeCell ref="B25:K25"/>
    <mergeCell ref="B2:K2"/>
    <mergeCell ref="B4:K4"/>
    <mergeCell ref="B6:K6"/>
    <mergeCell ref="B13:K13"/>
    <mergeCell ref="B15:K15"/>
  </mergeCells>
  <pageMargins left="0.7" right="0.7" top="0.75" bottom="0.75" header="0.3" footer="0.3"/>
  <pageSetup orientation="portrait" r:id="rId1"/>
  <headerFooter>
    <oddFooter>&amp;C&amp;"Copperplate Gothic Light,Bold"&amp;16&amp;K04-049Chavis Capital</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BH497"/>
  <sheetViews>
    <sheetView showGridLines="0" zoomScale="115" zoomScaleNormal="115" workbookViewId="0">
      <pane xSplit="2" ySplit="17" topLeftCell="N18" activePane="bottomRight" state="frozen"/>
      <selection activeCell="G24" sqref="A1:XFD1048576"/>
      <selection pane="topRight" activeCell="G24" sqref="A1:XFD1048576"/>
      <selection pane="bottomLeft" activeCell="G24" sqref="A1:XFD1048576"/>
      <selection pane="bottomRight" activeCell="AB18" sqref="AB18"/>
    </sheetView>
  </sheetViews>
  <sheetFormatPr defaultRowHeight="12.75" outlineLevelRow="1"/>
  <cols>
    <col min="2" max="2" width="12" bestFit="1" customWidth="1"/>
    <col min="3" max="3" width="12.1328125" bestFit="1" customWidth="1"/>
    <col min="4" max="4" width="11.86328125" bestFit="1" customWidth="1"/>
    <col min="5" max="5" width="10.265625" bestFit="1" customWidth="1"/>
    <col min="6" max="6" width="15.6640625" bestFit="1" customWidth="1"/>
    <col min="8" max="8" width="11.33203125" bestFit="1" customWidth="1"/>
    <col min="9" max="9" width="9" bestFit="1" customWidth="1"/>
    <col min="10" max="10" width="9.33203125" bestFit="1" customWidth="1"/>
    <col min="11" max="11" width="11.59765625" bestFit="1" customWidth="1"/>
    <col min="12" max="12" width="11.33203125" bestFit="1" customWidth="1"/>
    <col min="13" max="13" width="2.6640625" customWidth="1"/>
    <col min="14" max="14" width="8.59765625" style="3" customWidth="1"/>
    <col min="15" max="15" width="10.265625" style="3" customWidth="1"/>
    <col min="16" max="16" width="22.3984375" bestFit="1" customWidth="1"/>
    <col min="17" max="17" width="11.33203125" bestFit="1" customWidth="1"/>
    <col min="21" max="21" width="10.265625" bestFit="1" customWidth="1"/>
    <col min="25" max="25" width="10.265625" bestFit="1" customWidth="1"/>
    <col min="26" max="26" width="2.6640625" customWidth="1"/>
    <col min="27" max="28" width="8.59765625" style="3" customWidth="1"/>
    <col min="29" max="29" width="12.1328125" bestFit="1" customWidth="1"/>
    <col min="30" max="30" width="11.33203125" bestFit="1" customWidth="1"/>
    <col min="31" max="31" width="10.265625" bestFit="1" customWidth="1"/>
    <col min="32" max="32" width="15.265625" bestFit="1" customWidth="1"/>
    <col min="34" max="34" width="11.33203125" bestFit="1" customWidth="1"/>
    <col min="35" max="35" width="9" bestFit="1" customWidth="1"/>
    <col min="36" max="36" width="9.33203125" bestFit="1" customWidth="1"/>
    <col min="37" max="37" width="9.1328125" bestFit="1" customWidth="1"/>
    <col min="38" max="38" width="11.33203125" bestFit="1" customWidth="1"/>
    <col min="39" max="39" width="2.6640625" customWidth="1"/>
    <col min="40" max="40" width="12.1328125" bestFit="1" customWidth="1"/>
    <col min="41" max="41" width="11.33203125" bestFit="1" customWidth="1"/>
    <col min="42" max="42" width="10.265625" bestFit="1" customWidth="1"/>
    <col min="43" max="43" width="15.265625" bestFit="1" customWidth="1"/>
    <col min="45" max="45" width="11.33203125" bestFit="1" customWidth="1"/>
    <col min="46" max="46" width="9" bestFit="1" customWidth="1"/>
    <col min="47" max="47" width="9.33203125" bestFit="1" customWidth="1"/>
    <col min="48" max="48" width="9.1328125" bestFit="1" customWidth="1"/>
    <col min="49" max="49" width="11.33203125" bestFit="1" customWidth="1"/>
    <col min="50" max="50" width="2.6640625" customWidth="1"/>
  </cols>
  <sheetData>
    <row r="1" spans="1:60" ht="30">
      <c r="A1" s="74" t="str">
        <f ca="1">MID(CELL("filename",A1),FIND("]",CELL("filename",A1))+1,255)</f>
        <v>Amortization</v>
      </c>
      <c r="B1" s="77"/>
      <c r="C1" s="77"/>
      <c r="D1" s="77"/>
      <c r="E1" s="77"/>
      <c r="F1" s="77"/>
      <c r="G1" s="77"/>
      <c r="H1" s="77"/>
      <c r="I1" s="77"/>
      <c r="J1" s="77"/>
      <c r="K1" s="77"/>
      <c r="L1" s="77"/>
      <c r="M1" s="198"/>
      <c r="N1" s="73"/>
      <c r="O1" s="73"/>
      <c r="P1" s="73"/>
      <c r="Q1" s="73"/>
      <c r="R1" s="73"/>
      <c r="S1" s="73"/>
      <c r="T1" s="73"/>
      <c r="U1" s="73"/>
      <c r="V1" s="73"/>
      <c r="W1" s="73"/>
      <c r="X1" s="73"/>
      <c r="Y1" s="73"/>
      <c r="Z1" s="198"/>
      <c r="AA1" s="73"/>
      <c r="AB1" s="73"/>
      <c r="AC1" s="73"/>
      <c r="AD1" s="73"/>
      <c r="AE1" s="73"/>
      <c r="AF1" s="73"/>
      <c r="AG1" s="73"/>
      <c r="AH1" s="73"/>
      <c r="AI1" s="73"/>
      <c r="AJ1" s="73"/>
      <c r="AK1" s="73"/>
      <c r="AL1" s="73"/>
      <c r="AM1" s="198"/>
      <c r="AN1" s="73"/>
      <c r="AO1" s="73"/>
      <c r="AP1" s="73"/>
      <c r="AQ1" s="73"/>
      <c r="AR1" s="73"/>
      <c r="AS1" s="73"/>
      <c r="AT1" s="73"/>
      <c r="AU1" s="73"/>
      <c r="AV1" s="73"/>
      <c r="AW1" s="409">
        <f>+Name</f>
        <v>0</v>
      </c>
      <c r="AX1" s="198"/>
    </row>
    <row r="2" spans="1:60" ht="12.75" hidden="1" customHeight="1" outlineLevel="1">
      <c r="A2" s="73"/>
      <c r="M2" s="199"/>
      <c r="N2" s="507"/>
      <c r="O2" s="507"/>
      <c r="Z2" s="199"/>
      <c r="AA2" s="507"/>
      <c r="AB2" s="507"/>
      <c r="AM2" s="199"/>
      <c r="AX2" s="199"/>
    </row>
    <row r="3" spans="1:60" ht="20.65" collapsed="1">
      <c r="A3" s="73"/>
      <c r="B3" s="573" t="s">
        <v>88</v>
      </c>
      <c r="C3" s="573"/>
      <c r="D3" s="573"/>
      <c r="E3" s="573"/>
      <c r="F3" s="573"/>
      <c r="G3" s="573"/>
      <c r="H3" s="573"/>
      <c r="I3" s="573"/>
      <c r="J3" s="573"/>
      <c r="K3" s="573"/>
      <c r="L3" s="573"/>
      <c r="M3" s="199"/>
      <c r="N3" s="507"/>
      <c r="O3" s="507"/>
      <c r="P3" s="569" t="s">
        <v>89</v>
      </c>
      <c r="Q3" s="569"/>
      <c r="R3" s="569"/>
      <c r="S3" s="569"/>
      <c r="T3" s="569"/>
      <c r="U3" s="569"/>
      <c r="V3" s="569"/>
      <c r="W3" s="569"/>
      <c r="X3" s="569"/>
      <c r="Y3" s="569"/>
      <c r="Z3" s="199"/>
      <c r="AA3" s="507"/>
      <c r="AB3" s="507"/>
      <c r="AC3" s="569" t="s">
        <v>65</v>
      </c>
      <c r="AD3" s="569"/>
      <c r="AE3" s="569"/>
      <c r="AF3" s="569"/>
      <c r="AG3" s="569"/>
      <c r="AH3" s="569"/>
      <c r="AI3" s="569"/>
      <c r="AJ3" s="569"/>
      <c r="AK3" s="569"/>
      <c r="AL3" s="569"/>
      <c r="AM3" s="199"/>
      <c r="AN3" s="569" t="s">
        <v>186</v>
      </c>
      <c r="AO3" s="569"/>
      <c r="AP3" s="569"/>
      <c r="AQ3" s="569"/>
      <c r="AR3" s="569"/>
      <c r="AS3" s="569"/>
      <c r="AT3" s="569"/>
      <c r="AU3" s="569"/>
      <c r="AV3" s="569"/>
      <c r="AW3" s="569"/>
      <c r="AX3" s="199"/>
    </row>
    <row r="4" spans="1:60" ht="13.15">
      <c r="A4" s="73"/>
      <c r="C4" t="s">
        <v>49</v>
      </c>
      <c r="D4" s="195">
        <f>+Dashboard!P4</f>
        <v>3750000</v>
      </c>
      <c r="J4" s="85" t="s">
        <v>86</v>
      </c>
      <c r="K4" s="85" t="s">
        <v>84</v>
      </c>
      <c r="L4" s="85" t="s">
        <v>49</v>
      </c>
      <c r="M4" s="199"/>
      <c r="N4" s="507"/>
      <c r="O4" s="507"/>
      <c r="P4" t="s">
        <v>49</v>
      </c>
      <c r="Q4" s="90">
        <v>500000</v>
      </c>
      <c r="W4" s="85" t="s">
        <v>86</v>
      </c>
      <c r="X4" s="85" t="s">
        <v>84</v>
      </c>
      <c r="Y4" s="85" t="s">
        <v>49</v>
      </c>
      <c r="Z4" s="199"/>
      <c r="AA4" s="507"/>
      <c r="AB4" s="507"/>
      <c r="AC4" t="s">
        <v>49</v>
      </c>
      <c r="AD4" s="195">
        <f>+Dashboard!P23</f>
        <v>0</v>
      </c>
      <c r="AJ4" s="85" t="s">
        <v>86</v>
      </c>
      <c r="AK4" s="85" t="s">
        <v>84</v>
      </c>
      <c r="AL4" s="85" t="s">
        <v>49</v>
      </c>
      <c r="AM4" s="199"/>
      <c r="AN4" t="s">
        <v>49</v>
      </c>
      <c r="AO4" s="195">
        <f>+Dashboard!P20</f>
        <v>3575606.2203125004</v>
      </c>
      <c r="AU4" s="85" t="s">
        <v>86</v>
      </c>
      <c r="AV4" s="85" t="s">
        <v>84</v>
      </c>
      <c r="AW4" s="85" t="s">
        <v>49</v>
      </c>
      <c r="AX4" s="199"/>
    </row>
    <row r="5" spans="1:60" ht="12.75" customHeight="1">
      <c r="A5" s="73"/>
      <c r="B5" s="24"/>
      <c r="C5" t="s">
        <v>74</v>
      </c>
      <c r="D5" s="196">
        <f>+Dashboard!P7</f>
        <v>360</v>
      </c>
      <c r="I5" s="93">
        <v>1</v>
      </c>
      <c r="J5" s="109">
        <f t="shared" ref="J5:J15" si="0">+LOOKUP($I5,$C$18:$C$497,$F$18:$F$497)</f>
        <v>0.04</v>
      </c>
      <c r="K5" s="110">
        <f t="shared" ref="K5:K15" si="1">-SUMIFS($J$18:$J$497,$C$18:$C$497,$I5)</f>
        <v>148798.01671250458</v>
      </c>
      <c r="L5" s="110">
        <f t="shared" ref="L5:L15" si="2">-SUMIFS($K$18:$K$497,$C$18:$C$497,$I5)</f>
        <v>66038.866246952122</v>
      </c>
      <c r="M5" s="199"/>
      <c r="N5" s="507"/>
      <c r="O5" s="507"/>
      <c r="P5" t="s">
        <v>74</v>
      </c>
      <c r="Q5" s="20">
        <v>360</v>
      </c>
      <c r="V5" s="93">
        <v>1</v>
      </c>
      <c r="W5" s="109">
        <f t="shared" ref="W5:W15" ca="1" si="3">+LOOKUP($V5,$P$18:$P$497,$S$18:$S$497)</f>
        <v>0.04</v>
      </c>
      <c r="X5" s="110">
        <f t="shared" ref="X5:X15" ca="1" si="4">-SUMIFS($W$18:$W$497,$P$18:$P$497,$V5)</f>
        <v>20000</v>
      </c>
      <c r="Y5" s="110">
        <f t="shared" ref="Y5:Y15" ca="1" si="5">-SUMIFS($X$18:$X$497,$P$18:$P$497,$V5)</f>
        <v>0</v>
      </c>
      <c r="Z5" s="199"/>
      <c r="AA5" s="507"/>
      <c r="AB5" s="507"/>
      <c r="AC5" t="s">
        <v>74</v>
      </c>
      <c r="AD5" s="196">
        <f>+Dashboard!P26</f>
        <v>360</v>
      </c>
      <c r="AI5" s="93">
        <v>1</v>
      </c>
      <c r="AJ5" s="109">
        <f t="shared" ref="AJ5:AJ15" si="6">+LOOKUP($AI5,$AC$18:$AC$497,$AF$18:$AF$497)</f>
        <v>0.06</v>
      </c>
      <c r="AK5" s="110">
        <f t="shared" ref="AK5:AK15" si="7">-SUMIFS($AJ$18:$AJ$497,$AC$18:$AC$497,$I5)</f>
        <v>0</v>
      </c>
      <c r="AL5" s="110">
        <f t="shared" ref="AL5:AL15" si="8">-SUMIFS($AK$18:$AK$497,$AC$18:$AC$497,$I5)</f>
        <v>0</v>
      </c>
      <c r="AM5" s="199"/>
      <c r="AN5" t="s">
        <v>74</v>
      </c>
      <c r="AO5" s="196">
        <f>+Dashboard!T19</f>
        <v>360</v>
      </c>
      <c r="AT5" s="93">
        <f>+Waterfall!C45+0.5</f>
        <v>2</v>
      </c>
      <c r="AU5" s="109">
        <f t="shared" ref="AU5:AU15" si="9">+LOOKUP($AT5,$AN$18:$AN$497,$AQ$18:$AQ$497)</f>
        <v>4.4999999999999998E-2</v>
      </c>
      <c r="AV5" s="110">
        <f t="shared" ref="AV5:AV15" si="10">-SUMIFS($AU$18:$AU$497,$AN$18:$AN$497,$AT5)</f>
        <v>159722.2235309133</v>
      </c>
      <c r="AW5" s="110">
        <f t="shared" ref="AW5:AW15" si="11">-SUMIFS($AV$18:$AV$497,$AN$18:$AN$497,$AT5)</f>
        <v>57682.633935612947</v>
      </c>
      <c r="AX5" s="199"/>
      <c r="AY5" s="147"/>
      <c r="AZ5" s="147"/>
      <c r="BA5" s="147"/>
      <c r="BB5" s="147"/>
      <c r="BC5" s="147"/>
      <c r="BD5" s="147"/>
      <c r="BE5" s="147"/>
      <c r="BF5" s="147"/>
      <c r="BG5" s="147"/>
      <c r="BH5" s="147"/>
    </row>
    <row r="6" spans="1:60">
      <c r="A6" s="73"/>
      <c r="C6" t="s">
        <v>72</v>
      </c>
      <c r="D6" s="197">
        <f>+Dashboard!P6</f>
        <v>0</v>
      </c>
      <c r="I6" s="93">
        <f>+I5+1</f>
        <v>2</v>
      </c>
      <c r="J6" s="109">
        <f t="shared" si="0"/>
        <v>0.04</v>
      </c>
      <c r="K6" s="110">
        <f t="shared" si="1"/>
        <v>146107.49140893016</v>
      </c>
      <c r="L6" s="110">
        <f t="shared" si="2"/>
        <v>68729.391550526547</v>
      </c>
      <c r="M6" s="199"/>
      <c r="N6" s="507"/>
      <c r="O6" s="507"/>
      <c r="P6" t="s">
        <v>72</v>
      </c>
      <c r="Q6" s="21">
        <v>3</v>
      </c>
      <c r="V6" s="93">
        <f>+V5+1</f>
        <v>2</v>
      </c>
      <c r="W6" s="109">
        <f t="shared" ca="1" si="3"/>
        <v>0.04</v>
      </c>
      <c r="X6" s="110">
        <f t="shared" ca="1" si="4"/>
        <v>20000</v>
      </c>
      <c r="Y6" s="110">
        <f t="shared" ca="1" si="5"/>
        <v>0</v>
      </c>
      <c r="Z6" s="199"/>
      <c r="AA6" s="507"/>
      <c r="AB6" s="507"/>
      <c r="AC6" t="s">
        <v>72</v>
      </c>
      <c r="AD6" s="197">
        <f>+Dashboard!P25</f>
        <v>0</v>
      </c>
      <c r="AI6" s="93">
        <f>+AI5+1</f>
        <v>2</v>
      </c>
      <c r="AJ6" s="109">
        <f t="shared" si="6"/>
        <v>0.06</v>
      </c>
      <c r="AK6" s="110">
        <f t="shared" si="7"/>
        <v>0</v>
      </c>
      <c r="AL6" s="110">
        <f t="shared" si="8"/>
        <v>0</v>
      </c>
      <c r="AM6" s="199"/>
      <c r="AN6" t="s">
        <v>72</v>
      </c>
      <c r="AO6" s="197">
        <f>+Dashboard!T18</f>
        <v>0</v>
      </c>
      <c r="AT6" s="93">
        <f>+AT5+1</f>
        <v>3</v>
      </c>
      <c r="AU6" s="109">
        <f t="shared" si="9"/>
        <v>4.4999999999999998E-2</v>
      </c>
      <c r="AV6" s="110">
        <f t="shared" si="10"/>
        <v>157072.29342003079</v>
      </c>
      <c r="AW6" s="110">
        <f t="shared" si="11"/>
        <v>60332.564046495449</v>
      </c>
      <c r="AX6" s="199"/>
      <c r="AY6" s="147"/>
      <c r="AZ6" s="147"/>
      <c r="BA6" s="147"/>
      <c r="BB6" s="147"/>
      <c r="BC6" s="147"/>
      <c r="BD6" s="147"/>
      <c r="BE6" s="147"/>
      <c r="BF6" s="147"/>
      <c r="BG6" s="147"/>
      <c r="BH6" s="147"/>
    </row>
    <row r="7" spans="1:60">
      <c r="A7" s="73"/>
      <c r="C7" t="s">
        <v>73</v>
      </c>
      <c r="D7" s="26">
        <f>+Dashboard!T4</f>
        <v>0.04</v>
      </c>
      <c r="I7" s="93">
        <f>+I6+1</f>
        <v>3</v>
      </c>
      <c r="J7" s="109">
        <f t="shared" si="0"/>
        <v>0.04</v>
      </c>
      <c r="K7" s="110">
        <f t="shared" si="1"/>
        <v>143307.3499532234</v>
      </c>
      <c r="L7" s="110">
        <f t="shared" si="2"/>
        <v>71529.533006233381</v>
      </c>
      <c r="M7" s="199"/>
      <c r="N7" s="507"/>
      <c r="O7" s="507"/>
      <c r="P7" t="s">
        <v>73</v>
      </c>
      <c r="Q7" s="9">
        <v>0.04</v>
      </c>
      <c r="V7" s="93">
        <f>+V6+1</f>
        <v>3</v>
      </c>
      <c r="W7" s="109">
        <f t="shared" ca="1" si="3"/>
        <v>0.04</v>
      </c>
      <c r="X7" s="110">
        <f t="shared" ca="1" si="4"/>
        <v>20000</v>
      </c>
      <c r="Y7" s="110">
        <f t="shared" ca="1" si="5"/>
        <v>0</v>
      </c>
      <c r="Z7" s="199"/>
      <c r="AA7" s="507"/>
      <c r="AB7" s="507"/>
      <c r="AC7" t="s">
        <v>73</v>
      </c>
      <c r="AD7" s="26">
        <f>+Dashboard!P24</f>
        <v>0.06</v>
      </c>
      <c r="AI7" s="93">
        <f>+AI6+1</f>
        <v>3</v>
      </c>
      <c r="AJ7" s="109">
        <f t="shared" si="6"/>
        <v>0.06</v>
      </c>
      <c r="AK7" s="110">
        <f t="shared" si="7"/>
        <v>0</v>
      </c>
      <c r="AL7" s="110">
        <f t="shared" si="8"/>
        <v>0</v>
      </c>
      <c r="AM7" s="199"/>
      <c r="AN7" t="s">
        <v>73</v>
      </c>
      <c r="AO7" s="26">
        <f>+Dashboard!T17</f>
        <v>4.4999999999999998E-2</v>
      </c>
      <c r="AT7" s="93">
        <f>+AT6+1</f>
        <v>4</v>
      </c>
      <c r="AU7" s="109">
        <f t="shared" si="9"/>
        <v>4.4999999999999998E-2</v>
      </c>
      <c r="AV7" s="110">
        <f t="shared" si="10"/>
        <v>154300.62598348461</v>
      </c>
      <c r="AW7" s="110">
        <f t="shared" si="11"/>
        <v>63104.231483041673</v>
      </c>
      <c r="AX7" s="199"/>
      <c r="AY7" s="147"/>
      <c r="AZ7" s="147"/>
      <c r="BA7" s="147"/>
      <c r="BB7" s="147"/>
      <c r="BC7" s="147"/>
      <c r="BD7" s="147"/>
      <c r="BE7" s="147"/>
      <c r="BF7" s="147"/>
      <c r="BG7" s="147"/>
      <c r="BH7" s="147"/>
    </row>
    <row r="8" spans="1:60">
      <c r="A8" s="73"/>
      <c r="I8" s="93">
        <f t="shared" ref="I8:I14" si="12">+I7+1</f>
        <v>4</v>
      </c>
      <c r="J8" s="109">
        <f t="shared" si="0"/>
        <v>0.04</v>
      </c>
      <c r="K8" s="110">
        <f t="shared" si="1"/>
        <v>140393.12641421737</v>
      </c>
      <c r="L8" s="110">
        <f t="shared" si="2"/>
        <v>74443.756545239346</v>
      </c>
      <c r="M8" s="199"/>
      <c r="N8" s="507"/>
      <c r="O8" s="507"/>
      <c r="P8" t="s">
        <v>90</v>
      </c>
      <c r="Q8" s="19">
        <v>39814</v>
      </c>
      <c r="V8" s="93">
        <f t="shared" ref="V8:V14" si="13">+V7+1</f>
        <v>4</v>
      </c>
      <c r="W8" s="109">
        <f t="shared" ca="1" si="3"/>
        <v>0.04</v>
      </c>
      <c r="X8" s="110">
        <f t="shared" ca="1" si="4"/>
        <v>19839.735561667283</v>
      </c>
      <c r="Y8" s="110">
        <f t="shared" ca="1" si="5"/>
        <v>8805.1821662602852</v>
      </c>
      <c r="Z8" s="199"/>
      <c r="AA8" s="507"/>
      <c r="AB8" s="507"/>
      <c r="AI8" s="93">
        <f t="shared" ref="AI8:AI14" si="14">+AI7+1</f>
        <v>4</v>
      </c>
      <c r="AJ8" s="109">
        <f t="shared" si="6"/>
        <v>0.06</v>
      </c>
      <c r="AK8" s="110">
        <f t="shared" si="7"/>
        <v>0</v>
      </c>
      <c r="AL8" s="110">
        <f t="shared" si="8"/>
        <v>0</v>
      </c>
      <c r="AM8" s="199"/>
      <c r="AT8" s="93">
        <f t="shared" ref="AT8:AT14" si="15">+AT7+1</f>
        <v>5</v>
      </c>
      <c r="AU8" s="109">
        <f t="shared" si="9"/>
        <v>4.4999999999999998E-2</v>
      </c>
      <c r="AV8" s="110">
        <f t="shared" si="10"/>
        <v>151401.62862983279</v>
      </c>
      <c r="AW8" s="110">
        <f t="shared" si="11"/>
        <v>66003.228836693539</v>
      </c>
      <c r="AX8" s="199"/>
      <c r="AY8" s="147"/>
      <c r="AZ8" s="147"/>
      <c r="BA8" s="147"/>
      <c r="BB8" s="147"/>
      <c r="BC8" s="147"/>
      <c r="BD8" s="147"/>
      <c r="BE8" s="147"/>
      <c r="BF8" s="147"/>
      <c r="BG8" s="147"/>
      <c r="BH8" s="147"/>
    </row>
    <row r="9" spans="1:60" ht="13.15">
      <c r="A9" s="73"/>
      <c r="C9" s="427" t="s">
        <v>414</v>
      </c>
      <c r="F9" s="1"/>
      <c r="I9" s="93">
        <f t="shared" si="12"/>
        <v>5</v>
      </c>
      <c r="J9" s="109">
        <f t="shared" si="0"/>
        <v>0.04</v>
      </c>
      <c r="K9" s="110">
        <f t="shared" si="1"/>
        <v>137360.17291181919</v>
      </c>
      <c r="L9" s="110">
        <f t="shared" si="2"/>
        <v>77476.710047637593</v>
      </c>
      <c r="M9" s="199"/>
      <c r="N9" s="507"/>
      <c r="O9" s="507"/>
      <c r="V9" s="93">
        <f t="shared" si="13"/>
        <v>5</v>
      </c>
      <c r="W9" s="109">
        <f t="shared" ca="1" si="3"/>
        <v>0.04</v>
      </c>
      <c r="X9" s="110">
        <f t="shared" ca="1" si="4"/>
        <v>19480.998854524023</v>
      </c>
      <c r="Y9" s="110">
        <f t="shared" ca="1" si="5"/>
        <v>9163.9188734035433</v>
      </c>
      <c r="Z9" s="199"/>
      <c r="AA9" s="507"/>
      <c r="AB9" s="507"/>
      <c r="AI9" s="93">
        <f t="shared" si="14"/>
        <v>5</v>
      </c>
      <c r="AJ9" s="109">
        <f t="shared" si="6"/>
        <v>0.06</v>
      </c>
      <c r="AK9" s="110">
        <f t="shared" si="7"/>
        <v>0</v>
      </c>
      <c r="AL9" s="110">
        <f t="shared" si="8"/>
        <v>0</v>
      </c>
      <c r="AM9" s="199"/>
      <c r="AN9" s="1"/>
      <c r="AO9" s="1"/>
      <c r="AT9" s="93">
        <f t="shared" si="15"/>
        <v>6</v>
      </c>
      <c r="AU9" s="109">
        <f t="shared" si="9"/>
        <v>4.4999999999999998E-2</v>
      </c>
      <c r="AV9" s="110">
        <f t="shared" si="10"/>
        <v>148369.45184496103</v>
      </c>
      <c r="AW9" s="110">
        <f t="shared" si="11"/>
        <v>69035.405621565311</v>
      </c>
      <c r="AX9" s="199"/>
      <c r="AY9" s="147"/>
      <c r="AZ9" s="147"/>
      <c r="BA9" s="147"/>
      <c r="BB9" s="147"/>
      <c r="BC9" s="147"/>
      <c r="BD9" s="147"/>
      <c r="BE9" s="147"/>
      <c r="BF9" s="147"/>
      <c r="BG9" s="147"/>
      <c r="BH9" s="147"/>
    </row>
    <row r="10" spans="1:60" ht="13.15">
      <c r="A10" s="73"/>
      <c r="G10" s="9"/>
      <c r="I10" s="93">
        <f t="shared" si="12"/>
        <v>6</v>
      </c>
      <c r="J10" s="109">
        <f t="shared" si="0"/>
        <v>0.04</v>
      </c>
      <c r="K10" s="110">
        <f t="shared" si="1"/>
        <v>134203.65220412923</v>
      </c>
      <c r="L10" s="110">
        <f t="shared" si="2"/>
        <v>80633.230755327517</v>
      </c>
      <c r="M10" s="199"/>
      <c r="N10" s="507"/>
      <c r="O10" s="507"/>
      <c r="V10" s="93">
        <f t="shared" si="13"/>
        <v>6</v>
      </c>
      <c r="W10" s="109">
        <f t="shared" ca="1" si="3"/>
        <v>0.04</v>
      </c>
      <c r="X10" s="110">
        <f t="shared" ca="1" si="4"/>
        <v>19107.646660429789</v>
      </c>
      <c r="Y10" s="110">
        <f t="shared" ca="1" si="5"/>
        <v>9537.2710674977861</v>
      </c>
      <c r="Z10" s="199"/>
      <c r="AA10" s="507"/>
      <c r="AB10" s="507"/>
      <c r="AI10" s="93">
        <f t="shared" si="14"/>
        <v>6</v>
      </c>
      <c r="AJ10" s="109">
        <f t="shared" si="6"/>
        <v>0.06</v>
      </c>
      <c r="AK10" s="110">
        <f t="shared" si="7"/>
        <v>0</v>
      </c>
      <c r="AL10" s="110">
        <f t="shared" si="8"/>
        <v>0</v>
      </c>
      <c r="AM10" s="199"/>
      <c r="AN10" s="1"/>
      <c r="AO10" s="1"/>
      <c r="AT10" s="93">
        <f t="shared" si="15"/>
        <v>7</v>
      </c>
      <c r="AU10" s="109">
        <f t="shared" si="9"/>
        <v>4.4999999999999998E-2</v>
      </c>
      <c r="AV10" s="110">
        <f t="shared" si="10"/>
        <v>145197.9773891001</v>
      </c>
      <c r="AW10" s="110">
        <f t="shared" si="11"/>
        <v>72206.880077426234</v>
      </c>
      <c r="AX10" s="199"/>
      <c r="AY10" s="147"/>
      <c r="AZ10" s="147"/>
      <c r="BA10" s="147"/>
      <c r="BB10" s="147"/>
      <c r="BC10" s="147"/>
      <c r="BD10" s="147"/>
      <c r="BE10" s="147"/>
      <c r="BF10" s="147"/>
      <c r="BG10" s="147"/>
      <c r="BH10" s="147"/>
    </row>
    <row r="11" spans="1:60" ht="13.15">
      <c r="A11" s="73"/>
      <c r="G11" s="9"/>
      <c r="I11" s="93">
        <f t="shared" si="12"/>
        <v>7</v>
      </c>
      <c r="J11" s="109">
        <f t="shared" si="0"/>
        <v>0.04</v>
      </c>
      <c r="K11" s="110">
        <f t="shared" si="1"/>
        <v>130918.52997254976</v>
      </c>
      <c r="L11" s="110">
        <f t="shared" si="2"/>
        <v>83918.352986906975</v>
      </c>
      <c r="M11" s="199"/>
      <c r="N11" s="507"/>
      <c r="O11" s="507"/>
      <c r="V11" s="93">
        <f t="shared" si="13"/>
        <v>7</v>
      </c>
      <c r="W11" s="109">
        <f t="shared" ca="1" si="3"/>
        <v>0.04</v>
      </c>
      <c r="X11" s="110">
        <f t="shared" ca="1" si="4"/>
        <v>18719.083521895656</v>
      </c>
      <c r="Y11" s="110">
        <f t="shared" ca="1" si="5"/>
        <v>9925.8342060319173</v>
      </c>
      <c r="Z11" s="199"/>
      <c r="AA11" s="507"/>
      <c r="AB11" s="507"/>
      <c r="AI11" s="93">
        <f t="shared" si="14"/>
        <v>7</v>
      </c>
      <c r="AJ11" s="109">
        <f t="shared" si="6"/>
        <v>0.06</v>
      </c>
      <c r="AK11" s="110">
        <f t="shared" si="7"/>
        <v>0</v>
      </c>
      <c r="AL11" s="110">
        <f t="shared" si="8"/>
        <v>0</v>
      </c>
      <c r="AM11" s="199"/>
      <c r="AN11" s="1"/>
      <c r="AO11" s="1"/>
      <c r="AT11" s="93">
        <f t="shared" si="15"/>
        <v>8</v>
      </c>
      <c r="AU11" s="109">
        <f t="shared" si="9"/>
        <v>4.4999999999999998E-2</v>
      </c>
      <c r="AV11" s="110">
        <f t="shared" si="10"/>
        <v>141880.8059516162</v>
      </c>
      <c r="AW11" s="110">
        <f t="shared" si="11"/>
        <v>75524.051514910083</v>
      </c>
      <c r="AX11" s="199"/>
      <c r="AY11" s="147"/>
      <c r="AZ11" s="147"/>
      <c r="BA11" s="147"/>
      <c r="BB11" s="147"/>
      <c r="BC11" s="147"/>
      <c r="BD11" s="147"/>
      <c r="BE11" s="147"/>
      <c r="BF11" s="147"/>
      <c r="BG11" s="147"/>
      <c r="BH11" s="147"/>
    </row>
    <row r="12" spans="1:60" ht="13.15">
      <c r="A12" s="73"/>
      <c r="G12" s="206"/>
      <c r="I12" s="93">
        <f t="shared" si="12"/>
        <v>8</v>
      </c>
      <c r="J12" s="109">
        <f t="shared" si="0"/>
        <v>0.04</v>
      </c>
      <c r="K12" s="110">
        <f t="shared" si="1"/>
        <v>127499.56679257564</v>
      </c>
      <c r="L12" s="110">
        <f t="shared" si="2"/>
        <v>87337.316166881137</v>
      </c>
      <c r="M12" s="199"/>
      <c r="N12" s="507"/>
      <c r="O12" s="507"/>
      <c r="V12" s="93">
        <f t="shared" si="13"/>
        <v>8</v>
      </c>
      <c r="W12" s="109">
        <f t="shared" ca="1" si="3"/>
        <v>0.04</v>
      </c>
      <c r="X12" s="110">
        <f t="shared" ca="1" si="4"/>
        <v>18314.689721575898</v>
      </c>
      <c r="Y12" s="110">
        <f t="shared" ca="1" si="5"/>
        <v>10330.228006351686</v>
      </c>
      <c r="Z12" s="199"/>
      <c r="AA12" s="507"/>
      <c r="AB12" s="507"/>
      <c r="AI12" s="93">
        <f t="shared" si="14"/>
        <v>8</v>
      </c>
      <c r="AJ12" s="109">
        <f t="shared" si="6"/>
        <v>0.06</v>
      </c>
      <c r="AK12" s="110">
        <f t="shared" si="7"/>
        <v>0</v>
      </c>
      <c r="AL12" s="110">
        <f t="shared" si="8"/>
        <v>0</v>
      </c>
      <c r="AM12" s="199"/>
      <c r="AN12" s="1"/>
      <c r="AO12" s="1"/>
      <c r="AT12" s="93">
        <f t="shared" si="15"/>
        <v>9</v>
      </c>
      <c r="AU12" s="109">
        <f t="shared" si="9"/>
        <v>4.4999999999999998E-2</v>
      </c>
      <c r="AV12" s="110">
        <f t="shared" si="10"/>
        <v>138411.24423866469</v>
      </c>
      <c r="AW12" s="110">
        <f t="shared" si="11"/>
        <v>78993.61322786157</v>
      </c>
      <c r="AX12" s="199"/>
      <c r="AY12" s="147"/>
      <c r="AZ12" s="147"/>
      <c r="BA12" s="147"/>
      <c r="BB12" s="147"/>
      <c r="BC12" s="147"/>
      <c r="BD12" s="147"/>
      <c r="BE12" s="147"/>
      <c r="BF12" s="147"/>
      <c r="BG12" s="147"/>
      <c r="BH12" s="147"/>
    </row>
    <row r="13" spans="1:60" ht="13.15">
      <c r="A13" s="73"/>
      <c r="F13" s="1"/>
      <c r="G13" s="207"/>
      <c r="I13" s="93">
        <f t="shared" si="12"/>
        <v>9</v>
      </c>
      <c r="J13" s="109">
        <f t="shared" si="0"/>
        <v>0.04</v>
      </c>
      <c r="K13" s="110">
        <f t="shared" si="1"/>
        <v>123941.30977746338</v>
      </c>
      <c r="L13" s="110">
        <f t="shared" si="2"/>
        <v>90895.573181993299</v>
      </c>
      <c r="M13" s="199"/>
      <c r="N13" s="507"/>
      <c r="O13" s="507"/>
      <c r="V13" s="93">
        <f t="shared" si="13"/>
        <v>9</v>
      </c>
      <c r="W13" s="109">
        <f t="shared" ca="1" si="3"/>
        <v>0.04</v>
      </c>
      <c r="X13" s="110">
        <f t="shared" ca="1" si="4"/>
        <v>17893.820293883913</v>
      </c>
      <c r="Y13" s="110">
        <f t="shared" ca="1" si="5"/>
        <v>10751.097434043677</v>
      </c>
      <c r="Z13" s="199"/>
      <c r="AA13" s="507"/>
      <c r="AB13" s="507"/>
      <c r="AI13" s="93">
        <f t="shared" si="14"/>
        <v>9</v>
      </c>
      <c r="AJ13" s="109">
        <f t="shared" si="6"/>
        <v>0.06</v>
      </c>
      <c r="AK13" s="110">
        <f t="shared" si="7"/>
        <v>0</v>
      </c>
      <c r="AL13" s="110">
        <f t="shared" si="8"/>
        <v>0</v>
      </c>
      <c r="AM13" s="199"/>
      <c r="AN13" s="1"/>
      <c r="AO13" s="1"/>
      <c r="AT13" s="93">
        <f t="shared" si="15"/>
        <v>10</v>
      </c>
      <c r="AU13" s="109">
        <f t="shared" si="9"/>
        <v>4.4999999999999998E-2</v>
      </c>
      <c r="AV13" s="110">
        <f t="shared" si="10"/>
        <v>134782.29146765269</v>
      </c>
      <c r="AW13" s="110">
        <f t="shared" si="11"/>
        <v>82622.565998873644</v>
      </c>
      <c r="AX13" s="199"/>
      <c r="AY13" s="147"/>
      <c r="AZ13" s="147"/>
      <c r="BA13" s="147"/>
      <c r="BB13" s="147"/>
      <c r="BC13" s="147"/>
      <c r="BD13" s="147"/>
      <c r="BE13" s="147"/>
      <c r="BF13" s="147"/>
      <c r="BG13" s="147"/>
      <c r="BH13" s="147"/>
    </row>
    <row r="14" spans="1:60" ht="13.15">
      <c r="A14" s="73"/>
      <c r="I14" s="93">
        <f t="shared" si="12"/>
        <v>10</v>
      </c>
      <c r="J14" s="109">
        <f t="shared" si="0"/>
        <v>0.04</v>
      </c>
      <c r="K14" s="110">
        <f t="shared" si="1"/>
        <v>120238.08388145032</v>
      </c>
      <c r="L14" s="110">
        <f t="shared" si="2"/>
        <v>94598.79907800637</v>
      </c>
      <c r="M14" s="199"/>
      <c r="N14" s="507"/>
      <c r="O14" s="507"/>
      <c r="V14" s="93">
        <f t="shared" si="13"/>
        <v>10</v>
      </c>
      <c r="W14" s="109">
        <f t="shared" ca="1" si="3"/>
        <v>0.04</v>
      </c>
      <c r="X14" s="110">
        <f t="shared" ca="1" si="4"/>
        <v>17455.803996339986</v>
      </c>
      <c r="Y14" s="110">
        <f t="shared" ca="1" si="5"/>
        <v>11189.113731587606</v>
      </c>
      <c r="Z14" s="199"/>
      <c r="AA14" s="507"/>
      <c r="AB14" s="507"/>
      <c r="AI14" s="93">
        <f t="shared" si="14"/>
        <v>10</v>
      </c>
      <c r="AJ14" s="109">
        <f t="shared" si="6"/>
        <v>0.06</v>
      </c>
      <c r="AK14" s="110">
        <f t="shared" si="7"/>
        <v>0</v>
      </c>
      <c r="AL14" s="110">
        <f t="shared" si="8"/>
        <v>0</v>
      </c>
      <c r="AM14" s="199"/>
      <c r="AN14" s="1"/>
      <c r="AO14" s="1"/>
      <c r="AT14" s="93">
        <f t="shared" si="15"/>
        <v>11</v>
      </c>
      <c r="AU14" s="109">
        <f t="shared" si="9"/>
        <v>4.4999999999999998E-2</v>
      </c>
      <c r="AV14" s="110">
        <f t="shared" si="10"/>
        <v>130986.6252412598</v>
      </c>
      <c r="AW14" s="110">
        <f t="shared" si="11"/>
        <v>86418.232225266518</v>
      </c>
      <c r="AX14" s="199"/>
      <c r="AY14" s="147"/>
      <c r="AZ14" s="147"/>
      <c r="BA14" s="147"/>
      <c r="BB14" s="147"/>
      <c r="BC14" s="147"/>
      <c r="BD14" s="147"/>
      <c r="BE14" s="147"/>
      <c r="BF14" s="147"/>
      <c r="BG14" s="147"/>
      <c r="BH14" s="147"/>
    </row>
    <row r="15" spans="1:60" ht="13.15">
      <c r="A15" s="73"/>
      <c r="I15" s="93">
        <f>+I14+1</f>
        <v>11</v>
      </c>
      <c r="J15" s="109">
        <f t="shared" si="0"/>
        <v>0.04</v>
      </c>
      <c r="K15" s="110">
        <f t="shared" si="1"/>
        <v>116383.98284865318</v>
      </c>
      <c r="L15" s="110">
        <f t="shared" si="2"/>
        <v>98452.900110803501</v>
      </c>
      <c r="M15" s="199"/>
      <c r="N15" s="507"/>
      <c r="O15" s="507"/>
      <c r="V15" s="93">
        <f>+V14+1</f>
        <v>11</v>
      </c>
      <c r="W15" s="109">
        <f t="shared" ca="1" si="3"/>
        <v>0.04</v>
      </c>
      <c r="X15" s="110">
        <f t="shared" ca="1" si="4"/>
        <v>16999.942239010099</v>
      </c>
      <c r="Y15" s="110">
        <f t="shared" ca="1" si="5"/>
        <v>11644.975488917491</v>
      </c>
      <c r="Z15" s="199"/>
      <c r="AA15" s="507"/>
      <c r="AB15" s="507"/>
      <c r="AI15" s="93">
        <f>+AI14+1</f>
        <v>11</v>
      </c>
      <c r="AJ15" s="109">
        <f t="shared" si="6"/>
        <v>0.06</v>
      </c>
      <c r="AK15" s="110">
        <f t="shared" si="7"/>
        <v>0</v>
      </c>
      <c r="AL15" s="110">
        <f t="shared" si="8"/>
        <v>0</v>
      </c>
      <c r="AM15" s="199"/>
      <c r="AN15" s="1"/>
      <c r="AO15" s="1"/>
      <c r="AT15" s="93">
        <f>+AT14+1</f>
        <v>12</v>
      </c>
      <c r="AU15" s="109">
        <f t="shared" si="9"/>
        <v>4.4999999999999998E-2</v>
      </c>
      <c r="AV15" s="110">
        <f t="shared" si="10"/>
        <v>127016.58677251391</v>
      </c>
      <c r="AW15" s="110">
        <f t="shared" si="11"/>
        <v>90388.270694012375</v>
      </c>
      <c r="AX15" s="199"/>
      <c r="AY15" s="147"/>
      <c r="AZ15" s="147"/>
      <c r="BA15" s="147"/>
      <c r="BB15" s="147"/>
      <c r="BC15" s="147"/>
      <c r="BD15" s="147"/>
      <c r="BE15" s="147"/>
      <c r="BF15" s="147"/>
      <c r="BG15" s="147"/>
      <c r="BH15" s="147"/>
    </row>
    <row r="16" spans="1:60">
      <c r="A16" s="73"/>
      <c r="M16" s="199"/>
      <c r="N16" s="507"/>
      <c r="O16" s="507"/>
      <c r="Z16" s="199"/>
      <c r="AA16" s="507"/>
      <c r="AB16" s="507"/>
      <c r="AM16" s="199"/>
      <c r="AX16" s="199"/>
      <c r="AY16" s="147"/>
      <c r="AZ16" s="147"/>
      <c r="BA16" s="147"/>
      <c r="BB16" s="147"/>
      <c r="BC16" s="147"/>
      <c r="BD16" s="147"/>
      <c r="BE16" s="147"/>
      <c r="BF16" s="147"/>
      <c r="BG16" s="147"/>
      <c r="BH16" s="147"/>
    </row>
    <row r="17" spans="1:60" s="103" customFormat="1" ht="15">
      <c r="A17" s="208"/>
      <c r="C17" s="80" t="s">
        <v>8</v>
      </c>
      <c r="D17" s="80" t="s">
        <v>79</v>
      </c>
      <c r="E17" s="80" t="s">
        <v>80</v>
      </c>
      <c r="F17" s="80" t="s">
        <v>86</v>
      </c>
      <c r="G17" s="80" t="s">
        <v>81</v>
      </c>
      <c r="H17" s="80" t="s">
        <v>82</v>
      </c>
      <c r="I17" s="80" t="s">
        <v>83</v>
      </c>
      <c r="J17" s="80" t="s">
        <v>84</v>
      </c>
      <c r="K17" s="80" t="s">
        <v>49</v>
      </c>
      <c r="L17" s="80" t="s">
        <v>85</v>
      </c>
      <c r="M17" s="209"/>
      <c r="N17" s="80" t="s">
        <v>436</v>
      </c>
      <c r="O17" s="80" t="s">
        <v>437</v>
      </c>
      <c r="P17" s="80" t="s">
        <v>8</v>
      </c>
      <c r="Q17" s="80" t="s">
        <v>79</v>
      </c>
      <c r="R17" s="80" t="s">
        <v>80</v>
      </c>
      <c r="S17" s="80" t="s">
        <v>86</v>
      </c>
      <c r="T17" s="80" t="s">
        <v>81</v>
      </c>
      <c r="U17" s="80" t="s">
        <v>82</v>
      </c>
      <c r="V17" s="80" t="s">
        <v>83</v>
      </c>
      <c r="W17" s="80" t="s">
        <v>84</v>
      </c>
      <c r="X17" s="80" t="s">
        <v>49</v>
      </c>
      <c r="Y17" s="80" t="s">
        <v>85</v>
      </c>
      <c r="Z17" s="199"/>
      <c r="AA17" s="80" t="s">
        <v>436</v>
      </c>
      <c r="AB17" s="80" t="s">
        <v>437</v>
      </c>
      <c r="AC17" s="80" t="s">
        <v>8</v>
      </c>
      <c r="AD17" s="80" t="s">
        <v>79</v>
      </c>
      <c r="AE17" s="80" t="s">
        <v>80</v>
      </c>
      <c r="AF17" s="80" t="s">
        <v>86</v>
      </c>
      <c r="AG17" s="80" t="s">
        <v>81</v>
      </c>
      <c r="AH17" s="80" t="s">
        <v>82</v>
      </c>
      <c r="AI17" s="80" t="s">
        <v>83</v>
      </c>
      <c r="AJ17" s="80" t="s">
        <v>84</v>
      </c>
      <c r="AK17" s="80" t="s">
        <v>49</v>
      </c>
      <c r="AL17" s="80" t="s">
        <v>85</v>
      </c>
      <c r="AM17" s="209"/>
      <c r="AN17" s="80" t="s">
        <v>8</v>
      </c>
      <c r="AO17" s="80" t="s">
        <v>79</v>
      </c>
      <c r="AP17" s="80" t="s">
        <v>80</v>
      </c>
      <c r="AQ17" s="80" t="s">
        <v>86</v>
      </c>
      <c r="AR17" s="80" t="s">
        <v>81</v>
      </c>
      <c r="AS17" s="80" t="s">
        <v>82</v>
      </c>
      <c r="AT17" s="80" t="s">
        <v>83</v>
      </c>
      <c r="AU17" s="80" t="s">
        <v>84</v>
      </c>
      <c r="AV17" s="80" t="s">
        <v>49</v>
      </c>
      <c r="AW17" s="80" t="s">
        <v>85</v>
      </c>
      <c r="AX17" s="209"/>
      <c r="AY17" s="147"/>
      <c r="AZ17" s="147"/>
      <c r="BA17" s="147"/>
      <c r="BB17" s="147"/>
      <c r="BC17" s="147"/>
      <c r="BD17" s="147"/>
      <c r="BE17" s="147"/>
      <c r="BF17" s="147"/>
      <c r="BG17" s="147"/>
      <c r="BH17" s="147"/>
    </row>
    <row r="18" spans="1:60">
      <c r="A18" s="73"/>
      <c r="B18" s="571">
        <f>+C18</f>
        <v>1</v>
      </c>
      <c r="C18" s="16">
        <v>1</v>
      </c>
      <c r="D18" s="17">
        <v>1</v>
      </c>
      <c r="E18" s="18">
        <f ca="1">+Dashboard!P8</f>
        <v>44409</v>
      </c>
      <c r="F18" s="10">
        <f>+VLOOKUP($C18,Dashboard!$S$4:$T$13,2,0)</f>
        <v>0.04</v>
      </c>
      <c r="G18" s="14">
        <f>+IF(C18&lt;=$D$6,"I/O",1)</f>
        <v>1</v>
      </c>
      <c r="H18" s="5">
        <f>+D4</f>
        <v>3750000</v>
      </c>
      <c r="I18" s="5">
        <f t="shared" ref="I18:I81" si="16">+IFERROR(IF(C18&gt;D$6,PMT(LOOKUP(C18,$C$18:$C$497,F$18:F$497)/12,D$5+1-G18,H18),-H18*LOOKUP(C18,C$18:C$497,F$18:F$497)/12),0)</f>
        <v>-17903.073579954729</v>
      </c>
      <c r="J18" s="5">
        <f t="shared" ref="J18:J81" si="17">-H18*LOOKUP(C18,C$18:C$497,F$18:F$497)/12</f>
        <v>-12500</v>
      </c>
      <c r="K18" s="5">
        <f>+I18-J18</f>
        <v>-5403.0735799547292</v>
      </c>
      <c r="L18" s="5">
        <f>IFERROR(H18+K18,0)</f>
        <v>3744596.9264200451</v>
      </c>
      <c r="M18" s="199"/>
      <c r="N18" s="16">
        <f ca="1">+ROUNDUP(O18/12,0)</f>
        <v>0</v>
      </c>
      <c r="O18" s="508">
        <f t="shared" ref="O18:O81" ca="1" si="18">+IF(CDate&gt;=$R18,0,IF(O17&gt;0,O17+1,1))</f>
        <v>0</v>
      </c>
      <c r="P18" s="16">
        <f t="shared" ref="P18:P81" ca="1" si="19">+IFERROR(LOOKUP($R18,$E$18:$E$497,$C$18:$C$497),0)</f>
        <v>0</v>
      </c>
      <c r="Q18" s="17">
        <v>1</v>
      </c>
      <c r="R18" s="18">
        <f>+Q8</f>
        <v>39814</v>
      </c>
      <c r="S18" s="10">
        <f>+Q7</f>
        <v>0.04</v>
      </c>
      <c r="T18" s="14" t="str">
        <f ca="1">+IF(P18&lt;=$Q$6,"I/O",1)</f>
        <v>I/O</v>
      </c>
      <c r="U18" s="5">
        <f>+Q4</f>
        <v>500000</v>
      </c>
      <c r="V18" s="5">
        <f t="shared" ref="V18:V81" ca="1" si="20">+IFERROR(IF(P18&gt;Q$6,PMT(LOOKUP(P18,$C$18:$C$497,S$18:S$497)/12,Q$5+1-T18,U18),-U18*LOOKUP(P18,P$18:P$497,S$18:S$497)/12),0)</f>
        <v>-1666.6666666666667</v>
      </c>
      <c r="W18" s="5">
        <f t="shared" ref="W18:W81" ca="1" si="21">-U18*LOOKUP(P18,P$18:P$497,S$18:S$497)/12</f>
        <v>-1666.6666666666667</v>
      </c>
      <c r="X18" s="5">
        <f ca="1">+V18-W18</f>
        <v>0</v>
      </c>
      <c r="Y18" s="5">
        <f ca="1">IFERROR(U18+X18,0)</f>
        <v>500000</v>
      </c>
      <c r="Z18" s="199"/>
      <c r="AA18" s="16">
        <f ca="1">+ROUNDUP(AB18/12,0)</f>
        <v>0</v>
      </c>
      <c r="AB18" s="508">
        <f t="shared" ref="AB18:AB81" ca="1" si="22">+IF(CDate&gt;=$AE18,0,IF(AB17&gt;0,AB17+1,1))</f>
        <v>0</v>
      </c>
      <c r="AC18" s="16">
        <v>1</v>
      </c>
      <c r="AD18" s="17">
        <v>1</v>
      </c>
      <c r="AE18" s="18">
        <f ca="1">+Dashboard!P27</f>
        <v>44409</v>
      </c>
      <c r="AF18" s="10">
        <f>+AD7</f>
        <v>0.06</v>
      </c>
      <c r="AG18" s="14">
        <f>+IF(AC18&lt;=$AD$6,"I/O",1)</f>
        <v>1</v>
      </c>
      <c r="AH18" s="5">
        <f>+AD4</f>
        <v>0</v>
      </c>
      <c r="AI18" s="5">
        <f t="shared" ref="AI18:AI81" si="23">+IFERROR(IF(AC18&gt;AD$6,PMT(LOOKUP(AC18,$C$18:$C$497,AF$18:AF$497)/12,AD$5+1-AG18,AH18),-AH18*LOOKUP(AC18,AC$18:AC$497,AF$18:AF$497)/12),0)</f>
        <v>0</v>
      </c>
      <c r="AJ18" s="5">
        <f t="shared" ref="AJ18:AJ81" si="24">-AH18*LOOKUP(AC18,AC$18:AC$497,AF$18:AF$497)/12</f>
        <v>0</v>
      </c>
      <c r="AK18" s="5">
        <f>+AI18-AJ18</f>
        <v>0</v>
      </c>
      <c r="AL18" s="5">
        <f>IFERROR(AH18+AK18,0)</f>
        <v>0</v>
      </c>
      <c r="AM18" s="199"/>
      <c r="AN18" s="16">
        <f>+AT5</f>
        <v>2</v>
      </c>
      <c r="AO18" s="17">
        <v>1</v>
      </c>
      <c r="AP18" s="18">
        <f ca="1">+IFERROR(IF(Waterfall!$D$45="Yes",LOOKUP(Waterfall!$C$45,Waterfall!$H$3:$Z$3,Waterfall!$H$4:$Z$4),CDate),CDate)</f>
        <v>44409</v>
      </c>
      <c r="AQ18" s="10">
        <f>+AO7</f>
        <v>4.4999999999999998E-2</v>
      </c>
      <c r="AR18" s="14">
        <f>+IF(AN18&gt;$AO$6,1,"I/O")</f>
        <v>1</v>
      </c>
      <c r="AS18" s="5">
        <f>+AO4</f>
        <v>3575606.2203125004</v>
      </c>
      <c r="AT18" s="5">
        <f>+IFERROR(IF(AN18&gt;AO$6+$AT$5-1,PMT(LOOKUP(AN18,$AT$5:$AT$15,$AU$5:$AU$15)/12,$AO$5+1-AR18,AS18),-AS18*LOOKUP(AN18,AN$18:AN$497,AQ$18:AQ$497)/12),0)</f>
        <v>-18117.071455543854</v>
      </c>
      <c r="AU18" s="5">
        <f>-AS18*LOOKUP(AN18,$AT$5:$AT$15,$AU$5:$AU$15)/12</f>
        <v>-13408.523326171875</v>
      </c>
      <c r="AV18" s="5">
        <f>+AT18-AU18</f>
        <v>-4708.5481293719786</v>
      </c>
      <c r="AW18" s="5">
        <f>IFERROR(AS18+AV18,0)</f>
        <v>3570897.6721831285</v>
      </c>
      <c r="AX18" s="199"/>
    </row>
    <row r="19" spans="1:60">
      <c r="A19" s="73"/>
      <c r="B19" s="572"/>
      <c r="C19" s="16">
        <f>+C18</f>
        <v>1</v>
      </c>
      <c r="D19" s="17">
        <f>+D18+1</f>
        <v>2</v>
      </c>
      <c r="E19" s="18">
        <f ca="1">+EDATE(E18,1)</f>
        <v>44440</v>
      </c>
      <c r="F19" s="10">
        <f>+VLOOKUP($C19,Dashboard!$S$4:$T$13,2,0)</f>
        <v>0.04</v>
      </c>
      <c r="G19" s="14">
        <f>+IF(G18="I/O",IF(C19&lt;=D$6,"I/O",1),G18+1)</f>
        <v>2</v>
      </c>
      <c r="H19" s="5">
        <f>+L18</f>
        <v>3744596.9264200451</v>
      </c>
      <c r="I19" s="5">
        <f t="shared" si="16"/>
        <v>-17903.073579954733</v>
      </c>
      <c r="J19" s="5">
        <f t="shared" si="17"/>
        <v>-12481.989754733484</v>
      </c>
      <c r="K19" s="5">
        <f>+I19-J19</f>
        <v>-5421.0838252212488</v>
      </c>
      <c r="L19" s="5">
        <f>IFERROR(H19+K19,0)</f>
        <v>3739175.8425948238</v>
      </c>
      <c r="M19" s="199"/>
      <c r="N19" s="16">
        <f ca="1">+ROUNDUP(O19/12,0)</f>
        <v>0</v>
      </c>
      <c r="O19" s="508">
        <f t="shared" ca="1" si="18"/>
        <v>0</v>
      </c>
      <c r="P19" s="16">
        <f t="shared" ca="1" si="19"/>
        <v>0</v>
      </c>
      <c r="Q19" s="17">
        <f>+Q18+1</f>
        <v>2</v>
      </c>
      <c r="R19" s="18">
        <f>+EDATE(R18,1)</f>
        <v>39845</v>
      </c>
      <c r="S19" s="10">
        <f>+S18</f>
        <v>0.04</v>
      </c>
      <c r="T19" s="14" t="str">
        <f ca="1">+IF(T18="I/O",IF(P19&lt;=Q$6,"I/O",1),T18+1)</f>
        <v>I/O</v>
      </c>
      <c r="U19" s="5">
        <f ca="1">+Y18</f>
        <v>500000</v>
      </c>
      <c r="V19" s="5">
        <f t="shared" ca="1" si="20"/>
        <v>-1666.6666666666667</v>
      </c>
      <c r="W19" s="5">
        <f t="shared" ca="1" si="21"/>
        <v>-1666.6666666666667</v>
      </c>
      <c r="X19" s="5">
        <f ca="1">+V19-W19</f>
        <v>0</v>
      </c>
      <c r="Y19" s="5">
        <f ca="1">IFERROR(U19+X19,0)</f>
        <v>500000</v>
      </c>
      <c r="Z19" s="199"/>
      <c r="AA19" s="16">
        <f t="shared" ref="AA19:AA82" ca="1" si="25">+ROUNDUP(AB19/12,0)</f>
        <v>1</v>
      </c>
      <c r="AB19" s="508">
        <f t="shared" ca="1" si="22"/>
        <v>1</v>
      </c>
      <c r="AC19" s="16">
        <f>+AC18</f>
        <v>1</v>
      </c>
      <c r="AD19" s="17">
        <f>+AD18+1</f>
        <v>2</v>
      </c>
      <c r="AE19" s="18">
        <f ca="1">+EDATE(AE18,1)</f>
        <v>44440</v>
      </c>
      <c r="AF19" s="10">
        <f>IF(Dashboard!$R$24="Float",AF18+Dashboard!$R$24/12,AF18)</f>
        <v>0.06</v>
      </c>
      <c r="AG19" s="14">
        <f>+IF(AG18="I/O",IF(AC19&lt;=AD$6,"I/O",1),AG18+1)</f>
        <v>2</v>
      </c>
      <c r="AH19" s="5">
        <f>+AL18</f>
        <v>0</v>
      </c>
      <c r="AI19" s="5">
        <f t="shared" si="23"/>
        <v>0</v>
      </c>
      <c r="AJ19" s="5">
        <f t="shared" si="24"/>
        <v>0</v>
      </c>
      <c r="AK19" s="5">
        <f>+AI19-AJ19</f>
        <v>0</v>
      </c>
      <c r="AL19" s="5">
        <f>IFERROR(AH19+AK19,0)</f>
        <v>0</v>
      </c>
      <c r="AM19" s="199"/>
      <c r="AN19" s="16">
        <f>+AN18</f>
        <v>2</v>
      </c>
      <c r="AO19" s="17">
        <f>+AO18+1</f>
        <v>2</v>
      </c>
      <c r="AP19" s="18">
        <f ca="1">+EDATE(AP18,1)</f>
        <v>44440</v>
      </c>
      <c r="AQ19" s="10">
        <f>IF(Dashboard!$S$20="Float",AQ18+Dashboard!$T$20/12,AQ18)</f>
        <v>4.4999999999999998E-2</v>
      </c>
      <c r="AR19" s="14">
        <f>+IF(AR18="I/O",IF(AN19&lt;=AO$6,"I/O",1),AR18+1)</f>
        <v>2</v>
      </c>
      <c r="AS19" s="5">
        <f>+AW18</f>
        <v>3570897.6721831285</v>
      </c>
      <c r="AT19" s="5">
        <f t="shared" ref="AT19:AT82" si="26">+IFERROR(IF(AN19&gt;AO$6+$AT$5-1,PMT(LOOKUP(AN19,$AT$5:$AT$15,$AU$5:$AU$15)/12,$AO$5+1-AR19,AS19),-AS19*LOOKUP(AN19,AN$18:AN$497,AQ$18:AQ$497)/12),0)</f>
        <v>-18117.071455543857</v>
      </c>
      <c r="AU19" s="5">
        <f t="shared" ref="AU19:AU82" si="27">-AS19*LOOKUP(AN19,$AT$5:$AT$15,$AU$5:$AU$15)/12</f>
        <v>-13390.866270686733</v>
      </c>
      <c r="AV19" s="5">
        <f>+AT19-AU19</f>
        <v>-4726.2051848571246</v>
      </c>
      <c r="AW19" s="5">
        <f>IFERROR(AS19+AV19,0)</f>
        <v>3566171.4669982716</v>
      </c>
      <c r="AX19" s="199"/>
    </row>
    <row r="20" spans="1:60">
      <c r="A20" s="73"/>
      <c r="B20" s="572"/>
      <c r="C20" s="16">
        <f>+C19</f>
        <v>1</v>
      </c>
      <c r="D20" s="17">
        <f>+D19+1</f>
        <v>3</v>
      </c>
      <c r="E20" s="18">
        <f ca="1">+EDATE(E19,1)</f>
        <v>44470</v>
      </c>
      <c r="F20" s="10">
        <f>+VLOOKUP($C20,Dashboard!$S$4:$T$13,2,0)</f>
        <v>0.04</v>
      </c>
      <c r="G20" s="14">
        <f t="shared" ref="G20:G83" si="28">+IF(G19="I/O",IF(C20&lt;=D$6,"I/O",1),G19+1)</f>
        <v>3</v>
      </c>
      <c r="H20" s="5">
        <f t="shared" ref="H20:H83" si="29">+L19</f>
        <v>3739175.8425948238</v>
      </c>
      <c r="I20" s="5">
        <f t="shared" si="16"/>
        <v>-17903.073579954729</v>
      </c>
      <c r="J20" s="5">
        <f t="shared" si="17"/>
        <v>-12463.919475316079</v>
      </c>
      <c r="K20" s="5">
        <f t="shared" ref="K20:K83" si="30">+I20-J20</f>
        <v>-5439.1541046386501</v>
      </c>
      <c r="L20" s="5">
        <f t="shared" ref="L20:L83" si="31">IFERROR(H20+K20,0)</f>
        <v>3733736.688490185</v>
      </c>
      <c r="M20" s="199"/>
      <c r="N20" s="16">
        <f t="shared" ref="N20:N83" ca="1" si="32">+ROUNDUP(O20/12,0)</f>
        <v>0</v>
      </c>
      <c r="O20" s="508">
        <f t="shared" ca="1" si="18"/>
        <v>0</v>
      </c>
      <c r="P20" s="16">
        <f t="shared" ca="1" si="19"/>
        <v>0</v>
      </c>
      <c r="Q20" s="17">
        <f>+Q19+1</f>
        <v>3</v>
      </c>
      <c r="R20" s="18">
        <f>+EDATE(R19,1)</f>
        <v>39873</v>
      </c>
      <c r="S20" s="10">
        <f t="shared" ref="S20:S83" si="33">+S19</f>
        <v>0.04</v>
      </c>
      <c r="T20" s="14" t="str">
        <f t="shared" ref="T20:T83" ca="1" si="34">+IF(T19="I/O",IF(P20&lt;=Q$6,"I/O",1),T19+1)</f>
        <v>I/O</v>
      </c>
      <c r="U20" s="5">
        <f t="shared" ref="U20:U83" ca="1" si="35">+Y19</f>
        <v>500000</v>
      </c>
      <c r="V20" s="5">
        <f t="shared" ca="1" si="20"/>
        <v>-1666.6666666666667</v>
      </c>
      <c r="W20" s="5">
        <f t="shared" ca="1" si="21"/>
        <v>-1666.6666666666667</v>
      </c>
      <c r="X20" s="5">
        <f t="shared" ref="X20:X83" ca="1" si="36">+V20-W20</f>
        <v>0</v>
      </c>
      <c r="Y20" s="5">
        <f t="shared" ref="Y20:Y83" ca="1" si="37">IFERROR(U20+X20,0)</f>
        <v>500000</v>
      </c>
      <c r="Z20" s="199"/>
      <c r="AA20" s="16">
        <f t="shared" ca="1" si="25"/>
        <v>1</v>
      </c>
      <c r="AB20" s="508">
        <f t="shared" ca="1" si="22"/>
        <v>2</v>
      </c>
      <c r="AC20" s="16">
        <f>+AC19</f>
        <v>1</v>
      </c>
      <c r="AD20" s="17">
        <f>+AD19+1</f>
        <v>3</v>
      </c>
      <c r="AE20" s="18">
        <f ca="1">+EDATE(AE19,1)</f>
        <v>44470</v>
      </c>
      <c r="AF20" s="10">
        <f>IF(Dashboard!$R$24="Float",AF19+Dashboard!$R$24/12,AF19)</f>
        <v>0.06</v>
      </c>
      <c r="AG20" s="14">
        <f t="shared" ref="AG20:AG83" si="38">+IF(AG19="I/O",IF(AC20&lt;=AD$6,"I/O",1),AG19+1)</f>
        <v>3</v>
      </c>
      <c r="AH20" s="5">
        <f t="shared" ref="AH20:AH83" si="39">+AL19</f>
        <v>0</v>
      </c>
      <c r="AI20" s="5">
        <f t="shared" si="23"/>
        <v>0</v>
      </c>
      <c r="AJ20" s="5">
        <f t="shared" si="24"/>
        <v>0</v>
      </c>
      <c r="AK20" s="5">
        <f t="shared" ref="AK20:AK83" si="40">+AI20-AJ20</f>
        <v>0</v>
      </c>
      <c r="AL20" s="5">
        <f t="shared" ref="AL20:AL83" si="41">IFERROR(AH20+AK20,0)</f>
        <v>0</v>
      </c>
      <c r="AM20" s="199"/>
      <c r="AN20" s="16">
        <f>+AN19</f>
        <v>2</v>
      </c>
      <c r="AO20" s="17">
        <f>+AO19+1</f>
        <v>3</v>
      </c>
      <c r="AP20" s="18">
        <f ca="1">+EDATE(AP19,1)</f>
        <v>44470</v>
      </c>
      <c r="AQ20" s="10">
        <f>IF(Dashboard!$S$20="Float",AQ19+Dashboard!$T$20/12,AQ19)</f>
        <v>4.4999999999999998E-2</v>
      </c>
      <c r="AR20" s="14">
        <f t="shared" ref="AR20:AR83" si="42">+IF(AR19="I/O",IF(AN20&lt;=AO$6,"I/O",1),AR19+1)</f>
        <v>3</v>
      </c>
      <c r="AS20" s="5">
        <f t="shared" ref="AS20:AS83" si="43">+AW19</f>
        <v>3566171.4669982716</v>
      </c>
      <c r="AT20" s="5">
        <f t="shared" si="26"/>
        <v>-18117.071455543857</v>
      </c>
      <c r="AU20" s="5">
        <f t="shared" si="27"/>
        <v>-13373.143001243518</v>
      </c>
      <c r="AV20" s="5">
        <f t="shared" ref="AV20:AV83" si="44">+AT20-AU20</f>
        <v>-4743.9284543003396</v>
      </c>
      <c r="AW20" s="5">
        <f t="shared" ref="AW20:AW83" si="45">IFERROR(AS20+AV20,0)</f>
        <v>3561427.5385439713</v>
      </c>
      <c r="AX20" s="199"/>
    </row>
    <row r="21" spans="1:60">
      <c r="A21" s="73"/>
      <c r="B21" s="572"/>
      <c r="C21" s="16">
        <f>+C20</f>
        <v>1</v>
      </c>
      <c r="D21" s="17">
        <f t="shared" ref="D21:D29" si="46">+D20+1</f>
        <v>4</v>
      </c>
      <c r="E21" s="18">
        <f t="shared" ref="E21:E84" ca="1" si="47">+EDATE(E20,1)</f>
        <v>44501</v>
      </c>
      <c r="F21" s="10">
        <f>+VLOOKUP($C21,Dashboard!$S$4:$T$13,2,0)</f>
        <v>0.04</v>
      </c>
      <c r="G21" s="14">
        <f t="shared" si="28"/>
        <v>4</v>
      </c>
      <c r="H21" s="5">
        <f t="shared" si="29"/>
        <v>3733736.688490185</v>
      </c>
      <c r="I21" s="5">
        <f t="shared" si="16"/>
        <v>-17903.073579954729</v>
      </c>
      <c r="J21" s="5">
        <f t="shared" si="17"/>
        <v>-12445.788961633951</v>
      </c>
      <c r="K21" s="5">
        <f t="shared" si="30"/>
        <v>-5457.2846183207785</v>
      </c>
      <c r="L21" s="5">
        <f t="shared" si="31"/>
        <v>3728279.4038718641</v>
      </c>
      <c r="M21" s="199"/>
      <c r="N21" s="16">
        <f t="shared" ca="1" si="32"/>
        <v>0</v>
      </c>
      <c r="O21" s="508">
        <f t="shared" ca="1" si="18"/>
        <v>0</v>
      </c>
      <c r="P21" s="16">
        <f t="shared" ca="1" si="19"/>
        <v>0</v>
      </c>
      <c r="Q21" s="17">
        <f t="shared" ref="Q21:Q29" si="48">+Q20+1</f>
        <v>4</v>
      </c>
      <c r="R21" s="18">
        <f t="shared" ref="R21:R84" si="49">+EDATE(R20,1)</f>
        <v>39904</v>
      </c>
      <c r="S21" s="10">
        <f t="shared" si="33"/>
        <v>0.04</v>
      </c>
      <c r="T21" s="14" t="str">
        <f t="shared" ca="1" si="34"/>
        <v>I/O</v>
      </c>
      <c r="U21" s="5">
        <f t="shared" ca="1" si="35"/>
        <v>500000</v>
      </c>
      <c r="V21" s="5">
        <f t="shared" ca="1" si="20"/>
        <v>-1666.6666666666667</v>
      </c>
      <c r="W21" s="5">
        <f t="shared" ca="1" si="21"/>
        <v>-1666.6666666666667</v>
      </c>
      <c r="X21" s="5">
        <f t="shared" ca="1" si="36"/>
        <v>0</v>
      </c>
      <c r="Y21" s="5">
        <f t="shared" ca="1" si="37"/>
        <v>500000</v>
      </c>
      <c r="Z21" s="199"/>
      <c r="AA21" s="16">
        <f t="shared" ca="1" si="25"/>
        <v>1</v>
      </c>
      <c r="AB21" s="508">
        <f t="shared" ca="1" si="22"/>
        <v>3</v>
      </c>
      <c r="AC21" s="16">
        <f>+AC20</f>
        <v>1</v>
      </c>
      <c r="AD21" s="17">
        <f t="shared" ref="AD21:AD29" si="50">+AD20+1</f>
        <v>4</v>
      </c>
      <c r="AE21" s="18">
        <f t="shared" ref="AE21:AE84" ca="1" si="51">+EDATE(AE20,1)</f>
        <v>44501</v>
      </c>
      <c r="AF21" s="10">
        <f>IF(Dashboard!$R$24="Float",AF20+Dashboard!$R$24/12,AF20)</f>
        <v>0.06</v>
      </c>
      <c r="AG21" s="14">
        <f t="shared" si="38"/>
        <v>4</v>
      </c>
      <c r="AH21" s="5">
        <f t="shared" si="39"/>
        <v>0</v>
      </c>
      <c r="AI21" s="5">
        <f t="shared" si="23"/>
        <v>0</v>
      </c>
      <c r="AJ21" s="5">
        <f t="shared" si="24"/>
        <v>0</v>
      </c>
      <c r="AK21" s="5">
        <f t="shared" si="40"/>
        <v>0</v>
      </c>
      <c r="AL21" s="5">
        <f t="shared" si="41"/>
        <v>0</v>
      </c>
      <c r="AM21" s="199"/>
      <c r="AN21" s="16">
        <f>+AN20</f>
        <v>2</v>
      </c>
      <c r="AO21" s="17">
        <f t="shared" ref="AO21:AO29" si="52">+AO20+1</f>
        <v>4</v>
      </c>
      <c r="AP21" s="18">
        <f t="shared" ref="AP21:AP84" ca="1" si="53">+EDATE(AP20,1)</f>
        <v>44501</v>
      </c>
      <c r="AQ21" s="10">
        <f>IF(Dashboard!$S$20="Float",AQ20+Dashboard!$T$20/12,AQ20)</f>
        <v>4.4999999999999998E-2</v>
      </c>
      <c r="AR21" s="14">
        <f t="shared" si="42"/>
        <v>4</v>
      </c>
      <c r="AS21" s="5">
        <f t="shared" si="43"/>
        <v>3561427.5385439713</v>
      </c>
      <c r="AT21" s="5">
        <f t="shared" si="26"/>
        <v>-18117.071455543854</v>
      </c>
      <c r="AU21" s="5">
        <f t="shared" si="27"/>
        <v>-13355.353269539892</v>
      </c>
      <c r="AV21" s="5">
        <f t="shared" si="44"/>
        <v>-4761.7181860039618</v>
      </c>
      <c r="AW21" s="5">
        <f t="shared" si="45"/>
        <v>3556665.8203579672</v>
      </c>
      <c r="AX21" s="199"/>
    </row>
    <row r="22" spans="1:60">
      <c r="A22" s="73"/>
      <c r="B22" s="572"/>
      <c r="C22" s="16">
        <f t="shared" ref="C22:C29" si="54">+C21</f>
        <v>1</v>
      </c>
      <c r="D22" s="17">
        <f t="shared" si="46"/>
        <v>5</v>
      </c>
      <c r="E22" s="18">
        <f t="shared" ca="1" si="47"/>
        <v>44531</v>
      </c>
      <c r="F22" s="10">
        <f>+VLOOKUP($C22,Dashboard!$S$4:$T$13,2,0)</f>
        <v>0.04</v>
      </c>
      <c r="G22" s="14">
        <f t="shared" si="28"/>
        <v>5</v>
      </c>
      <c r="H22" s="5">
        <f t="shared" si="29"/>
        <v>3728279.4038718641</v>
      </c>
      <c r="I22" s="5">
        <f t="shared" si="16"/>
        <v>-17903.073579954729</v>
      </c>
      <c r="J22" s="5">
        <f t="shared" si="17"/>
        <v>-12427.598012906214</v>
      </c>
      <c r="K22" s="5">
        <f t="shared" si="30"/>
        <v>-5475.4755670485156</v>
      </c>
      <c r="L22" s="5">
        <f t="shared" si="31"/>
        <v>3722803.9283048157</v>
      </c>
      <c r="M22" s="199"/>
      <c r="N22" s="16">
        <f t="shared" ca="1" si="32"/>
        <v>0</v>
      </c>
      <c r="O22" s="508">
        <f t="shared" ca="1" si="18"/>
        <v>0</v>
      </c>
      <c r="P22" s="16">
        <f t="shared" ca="1" si="19"/>
        <v>0</v>
      </c>
      <c r="Q22" s="17">
        <f t="shared" si="48"/>
        <v>5</v>
      </c>
      <c r="R22" s="18">
        <f t="shared" si="49"/>
        <v>39934</v>
      </c>
      <c r="S22" s="10">
        <f t="shared" si="33"/>
        <v>0.04</v>
      </c>
      <c r="T22" s="14" t="str">
        <f t="shared" ca="1" si="34"/>
        <v>I/O</v>
      </c>
      <c r="U22" s="5">
        <f t="shared" ca="1" si="35"/>
        <v>500000</v>
      </c>
      <c r="V22" s="5">
        <f t="shared" ca="1" si="20"/>
        <v>-1666.6666666666667</v>
      </c>
      <c r="W22" s="5">
        <f t="shared" ca="1" si="21"/>
        <v>-1666.6666666666667</v>
      </c>
      <c r="X22" s="5">
        <f t="shared" ca="1" si="36"/>
        <v>0</v>
      </c>
      <c r="Y22" s="5">
        <f t="shared" ca="1" si="37"/>
        <v>500000</v>
      </c>
      <c r="Z22" s="199"/>
      <c r="AA22" s="16">
        <f t="shared" ca="1" si="25"/>
        <v>1</v>
      </c>
      <c r="AB22" s="508">
        <f t="shared" ca="1" si="22"/>
        <v>4</v>
      </c>
      <c r="AC22" s="16">
        <f t="shared" ref="AC22:AC29" si="55">+AC21</f>
        <v>1</v>
      </c>
      <c r="AD22" s="17">
        <f t="shared" si="50"/>
        <v>5</v>
      </c>
      <c r="AE22" s="18">
        <f t="shared" ca="1" si="51"/>
        <v>44531</v>
      </c>
      <c r="AF22" s="10">
        <f>IF(Dashboard!$R$24="Float",AF21+Dashboard!$R$24/12,AF21)</f>
        <v>0.06</v>
      </c>
      <c r="AG22" s="14">
        <f t="shared" si="38"/>
        <v>5</v>
      </c>
      <c r="AH22" s="5">
        <f t="shared" si="39"/>
        <v>0</v>
      </c>
      <c r="AI22" s="5">
        <f t="shared" si="23"/>
        <v>0</v>
      </c>
      <c r="AJ22" s="5">
        <f t="shared" si="24"/>
        <v>0</v>
      </c>
      <c r="AK22" s="5">
        <f t="shared" si="40"/>
        <v>0</v>
      </c>
      <c r="AL22" s="5">
        <f t="shared" si="41"/>
        <v>0</v>
      </c>
      <c r="AM22" s="199"/>
      <c r="AN22" s="16">
        <f t="shared" ref="AN22:AN29" si="56">+AN21</f>
        <v>2</v>
      </c>
      <c r="AO22" s="17">
        <f t="shared" si="52"/>
        <v>5</v>
      </c>
      <c r="AP22" s="18">
        <f t="shared" ca="1" si="53"/>
        <v>44531</v>
      </c>
      <c r="AQ22" s="10">
        <f>IF(Dashboard!$S$20="Float",AQ21+Dashboard!$T$20/12,AQ21)</f>
        <v>4.4999999999999998E-2</v>
      </c>
      <c r="AR22" s="14">
        <f t="shared" si="42"/>
        <v>5</v>
      </c>
      <c r="AS22" s="5">
        <f t="shared" si="43"/>
        <v>3556665.8203579672</v>
      </c>
      <c r="AT22" s="5">
        <f t="shared" si="26"/>
        <v>-18117.071455543854</v>
      </c>
      <c r="AU22" s="5">
        <f t="shared" si="27"/>
        <v>-13337.496826342378</v>
      </c>
      <c r="AV22" s="5">
        <f t="shared" si="44"/>
        <v>-4779.5746292014755</v>
      </c>
      <c r="AW22" s="5">
        <f t="shared" si="45"/>
        <v>3551886.2457287656</v>
      </c>
      <c r="AX22" s="199"/>
    </row>
    <row r="23" spans="1:60">
      <c r="A23" s="73"/>
      <c r="B23" s="572"/>
      <c r="C23" s="16">
        <f t="shared" si="54"/>
        <v>1</v>
      </c>
      <c r="D23" s="17">
        <f t="shared" si="46"/>
        <v>6</v>
      </c>
      <c r="E23" s="18">
        <f t="shared" ca="1" si="47"/>
        <v>44562</v>
      </c>
      <c r="F23" s="10">
        <f>+VLOOKUP($C23,Dashboard!$S$4:$T$13,2,0)</f>
        <v>0.04</v>
      </c>
      <c r="G23" s="14">
        <f t="shared" si="28"/>
        <v>6</v>
      </c>
      <c r="H23" s="5">
        <f t="shared" si="29"/>
        <v>3722803.9283048157</v>
      </c>
      <c r="I23" s="5">
        <f t="shared" si="16"/>
        <v>-17903.073579954729</v>
      </c>
      <c r="J23" s="5">
        <f t="shared" si="17"/>
        <v>-12409.34642768272</v>
      </c>
      <c r="K23" s="5">
        <f t="shared" si="30"/>
        <v>-5493.7271522720093</v>
      </c>
      <c r="L23" s="5">
        <f t="shared" si="31"/>
        <v>3717310.2011525435</v>
      </c>
      <c r="M23" s="199"/>
      <c r="N23" s="16">
        <f t="shared" ca="1" si="32"/>
        <v>0</v>
      </c>
      <c r="O23" s="508">
        <f t="shared" ca="1" si="18"/>
        <v>0</v>
      </c>
      <c r="P23" s="16">
        <f t="shared" ca="1" si="19"/>
        <v>0</v>
      </c>
      <c r="Q23" s="17">
        <f t="shared" si="48"/>
        <v>6</v>
      </c>
      <c r="R23" s="18">
        <f t="shared" si="49"/>
        <v>39965</v>
      </c>
      <c r="S23" s="10">
        <f t="shared" si="33"/>
        <v>0.04</v>
      </c>
      <c r="T23" s="14" t="str">
        <f t="shared" ca="1" si="34"/>
        <v>I/O</v>
      </c>
      <c r="U23" s="5">
        <f t="shared" ca="1" si="35"/>
        <v>500000</v>
      </c>
      <c r="V23" s="5">
        <f t="shared" ca="1" si="20"/>
        <v>-1666.6666666666667</v>
      </c>
      <c r="W23" s="5">
        <f t="shared" ca="1" si="21"/>
        <v>-1666.6666666666667</v>
      </c>
      <c r="X23" s="5">
        <f t="shared" ca="1" si="36"/>
        <v>0</v>
      </c>
      <c r="Y23" s="5">
        <f t="shared" ca="1" si="37"/>
        <v>500000</v>
      </c>
      <c r="Z23" s="199"/>
      <c r="AA23" s="16">
        <f t="shared" ca="1" si="25"/>
        <v>1</v>
      </c>
      <c r="AB23" s="508">
        <f t="shared" ca="1" si="22"/>
        <v>5</v>
      </c>
      <c r="AC23" s="16">
        <f t="shared" si="55"/>
        <v>1</v>
      </c>
      <c r="AD23" s="17">
        <f t="shared" si="50"/>
        <v>6</v>
      </c>
      <c r="AE23" s="18">
        <f t="shared" ca="1" si="51"/>
        <v>44562</v>
      </c>
      <c r="AF23" s="10">
        <f>IF(Dashboard!$R$24="Float",AF22+Dashboard!$R$24/12,AF22)</f>
        <v>0.06</v>
      </c>
      <c r="AG23" s="14">
        <f t="shared" si="38"/>
        <v>6</v>
      </c>
      <c r="AH23" s="5">
        <f t="shared" si="39"/>
        <v>0</v>
      </c>
      <c r="AI23" s="5">
        <f t="shared" si="23"/>
        <v>0</v>
      </c>
      <c r="AJ23" s="5">
        <f t="shared" si="24"/>
        <v>0</v>
      </c>
      <c r="AK23" s="5">
        <f t="shared" si="40"/>
        <v>0</v>
      </c>
      <c r="AL23" s="5">
        <f t="shared" si="41"/>
        <v>0</v>
      </c>
      <c r="AM23" s="199"/>
      <c r="AN23" s="16">
        <f t="shared" si="56"/>
        <v>2</v>
      </c>
      <c r="AO23" s="17">
        <f t="shared" si="52"/>
        <v>6</v>
      </c>
      <c r="AP23" s="18">
        <f t="shared" ca="1" si="53"/>
        <v>44562</v>
      </c>
      <c r="AQ23" s="10">
        <f>IF(Dashboard!$S$20="Float",AQ22+Dashboard!$T$20/12,AQ22)</f>
        <v>4.4999999999999998E-2</v>
      </c>
      <c r="AR23" s="14">
        <f t="shared" si="42"/>
        <v>6</v>
      </c>
      <c r="AS23" s="5">
        <f t="shared" si="43"/>
        <v>3551886.2457287656</v>
      </c>
      <c r="AT23" s="5">
        <f t="shared" si="26"/>
        <v>-18117.071455543854</v>
      </c>
      <c r="AU23" s="5">
        <f t="shared" si="27"/>
        <v>-13319.57342148287</v>
      </c>
      <c r="AV23" s="5">
        <f t="shared" si="44"/>
        <v>-4797.4980340609836</v>
      </c>
      <c r="AW23" s="5">
        <f t="shared" si="45"/>
        <v>3547088.7476947047</v>
      </c>
      <c r="AX23" s="199"/>
    </row>
    <row r="24" spans="1:60">
      <c r="A24" s="73"/>
      <c r="B24" s="572"/>
      <c r="C24" s="16">
        <f t="shared" si="54"/>
        <v>1</v>
      </c>
      <c r="D24" s="17">
        <f t="shared" si="46"/>
        <v>7</v>
      </c>
      <c r="E24" s="18">
        <f t="shared" ca="1" si="47"/>
        <v>44593</v>
      </c>
      <c r="F24" s="10">
        <f>+VLOOKUP($C24,Dashboard!$S$4:$T$13,2,0)</f>
        <v>0.04</v>
      </c>
      <c r="G24" s="14">
        <f t="shared" si="28"/>
        <v>7</v>
      </c>
      <c r="H24" s="5">
        <f t="shared" si="29"/>
        <v>3717310.2011525435</v>
      </c>
      <c r="I24" s="5">
        <f t="shared" si="16"/>
        <v>-17903.073579954729</v>
      </c>
      <c r="J24" s="5">
        <f t="shared" si="17"/>
        <v>-12391.034003841813</v>
      </c>
      <c r="K24" s="5">
        <f t="shared" si="30"/>
        <v>-5512.0395761129166</v>
      </c>
      <c r="L24" s="5">
        <f t="shared" si="31"/>
        <v>3711798.1615764308</v>
      </c>
      <c r="M24" s="199"/>
      <c r="N24" s="16">
        <f t="shared" ca="1" si="32"/>
        <v>0</v>
      </c>
      <c r="O24" s="508">
        <f t="shared" ca="1" si="18"/>
        <v>0</v>
      </c>
      <c r="P24" s="16">
        <f t="shared" ca="1" si="19"/>
        <v>0</v>
      </c>
      <c r="Q24" s="17">
        <f t="shared" si="48"/>
        <v>7</v>
      </c>
      <c r="R24" s="18">
        <f t="shared" si="49"/>
        <v>39995</v>
      </c>
      <c r="S24" s="10">
        <f t="shared" si="33"/>
        <v>0.04</v>
      </c>
      <c r="T24" s="14" t="str">
        <f t="shared" ca="1" si="34"/>
        <v>I/O</v>
      </c>
      <c r="U24" s="5">
        <f t="shared" ca="1" si="35"/>
        <v>500000</v>
      </c>
      <c r="V24" s="5">
        <f t="shared" ca="1" si="20"/>
        <v>-1666.6666666666667</v>
      </c>
      <c r="W24" s="5">
        <f t="shared" ca="1" si="21"/>
        <v>-1666.6666666666667</v>
      </c>
      <c r="X24" s="5">
        <f t="shared" ca="1" si="36"/>
        <v>0</v>
      </c>
      <c r="Y24" s="5">
        <f t="shared" ca="1" si="37"/>
        <v>500000</v>
      </c>
      <c r="Z24" s="199"/>
      <c r="AA24" s="16">
        <f t="shared" ca="1" si="25"/>
        <v>1</v>
      </c>
      <c r="AB24" s="508">
        <f t="shared" ca="1" si="22"/>
        <v>6</v>
      </c>
      <c r="AC24" s="16">
        <f t="shared" si="55"/>
        <v>1</v>
      </c>
      <c r="AD24" s="17">
        <f t="shared" si="50"/>
        <v>7</v>
      </c>
      <c r="AE24" s="18">
        <f t="shared" ca="1" si="51"/>
        <v>44593</v>
      </c>
      <c r="AF24" s="10">
        <f>IF(Dashboard!$R$24="Float",AF23+Dashboard!$R$24/12,AF23)</f>
        <v>0.06</v>
      </c>
      <c r="AG24" s="14">
        <f t="shared" si="38"/>
        <v>7</v>
      </c>
      <c r="AH24" s="5">
        <f t="shared" si="39"/>
        <v>0</v>
      </c>
      <c r="AI24" s="5">
        <f t="shared" si="23"/>
        <v>0</v>
      </c>
      <c r="AJ24" s="5">
        <f t="shared" si="24"/>
        <v>0</v>
      </c>
      <c r="AK24" s="5">
        <f t="shared" si="40"/>
        <v>0</v>
      </c>
      <c r="AL24" s="5">
        <f t="shared" si="41"/>
        <v>0</v>
      </c>
      <c r="AM24" s="199"/>
      <c r="AN24" s="16">
        <f t="shared" si="56"/>
        <v>2</v>
      </c>
      <c r="AO24" s="17">
        <f t="shared" si="52"/>
        <v>7</v>
      </c>
      <c r="AP24" s="18">
        <f t="shared" ca="1" si="53"/>
        <v>44593</v>
      </c>
      <c r="AQ24" s="10">
        <f>IF(Dashboard!$S$20="Float",AQ23+Dashboard!$T$20/12,AQ23)</f>
        <v>4.4999999999999998E-2</v>
      </c>
      <c r="AR24" s="14">
        <f t="shared" si="42"/>
        <v>7</v>
      </c>
      <c r="AS24" s="5">
        <f t="shared" si="43"/>
        <v>3547088.7476947047</v>
      </c>
      <c r="AT24" s="5">
        <f t="shared" si="26"/>
        <v>-18117.071455543854</v>
      </c>
      <c r="AU24" s="5">
        <f t="shared" si="27"/>
        <v>-13301.582803855143</v>
      </c>
      <c r="AV24" s="5">
        <f t="shared" si="44"/>
        <v>-4815.4886516887109</v>
      </c>
      <c r="AW24" s="5">
        <f t="shared" si="45"/>
        <v>3542273.259043016</v>
      </c>
      <c r="AX24" s="199"/>
    </row>
    <row r="25" spans="1:60">
      <c r="A25" s="73"/>
      <c r="B25" s="572"/>
      <c r="C25" s="16">
        <f t="shared" si="54"/>
        <v>1</v>
      </c>
      <c r="D25" s="17">
        <f t="shared" si="46"/>
        <v>8</v>
      </c>
      <c r="E25" s="18">
        <f t="shared" ca="1" si="47"/>
        <v>44621</v>
      </c>
      <c r="F25" s="10">
        <f>+VLOOKUP($C25,Dashboard!$S$4:$T$13,2,0)</f>
        <v>0.04</v>
      </c>
      <c r="G25" s="14">
        <f t="shared" si="28"/>
        <v>8</v>
      </c>
      <c r="H25" s="5">
        <f t="shared" si="29"/>
        <v>3711798.1615764308</v>
      </c>
      <c r="I25" s="5">
        <f t="shared" si="16"/>
        <v>-17903.073579954729</v>
      </c>
      <c r="J25" s="5">
        <f t="shared" si="17"/>
        <v>-12372.660538588103</v>
      </c>
      <c r="K25" s="5">
        <f t="shared" si="30"/>
        <v>-5530.4130413666262</v>
      </c>
      <c r="L25" s="5">
        <f t="shared" si="31"/>
        <v>3706267.748535064</v>
      </c>
      <c r="M25" s="199"/>
      <c r="N25" s="16">
        <f t="shared" ca="1" si="32"/>
        <v>0</v>
      </c>
      <c r="O25" s="508">
        <f t="shared" ca="1" si="18"/>
        <v>0</v>
      </c>
      <c r="P25" s="16">
        <f t="shared" ca="1" si="19"/>
        <v>0</v>
      </c>
      <c r="Q25" s="17">
        <f t="shared" si="48"/>
        <v>8</v>
      </c>
      <c r="R25" s="18">
        <f t="shared" si="49"/>
        <v>40026</v>
      </c>
      <c r="S25" s="10">
        <f t="shared" si="33"/>
        <v>0.04</v>
      </c>
      <c r="T25" s="14" t="str">
        <f t="shared" ca="1" si="34"/>
        <v>I/O</v>
      </c>
      <c r="U25" s="5">
        <f t="shared" ca="1" si="35"/>
        <v>500000</v>
      </c>
      <c r="V25" s="5">
        <f t="shared" ca="1" si="20"/>
        <v>-1666.6666666666667</v>
      </c>
      <c r="W25" s="5">
        <f t="shared" ca="1" si="21"/>
        <v>-1666.6666666666667</v>
      </c>
      <c r="X25" s="5">
        <f t="shared" ca="1" si="36"/>
        <v>0</v>
      </c>
      <c r="Y25" s="5">
        <f t="shared" ca="1" si="37"/>
        <v>500000</v>
      </c>
      <c r="Z25" s="199"/>
      <c r="AA25" s="16">
        <f t="shared" ca="1" si="25"/>
        <v>1</v>
      </c>
      <c r="AB25" s="508">
        <f t="shared" ca="1" si="22"/>
        <v>7</v>
      </c>
      <c r="AC25" s="16">
        <f t="shared" si="55"/>
        <v>1</v>
      </c>
      <c r="AD25" s="17">
        <f t="shared" si="50"/>
        <v>8</v>
      </c>
      <c r="AE25" s="18">
        <f t="shared" ca="1" si="51"/>
        <v>44621</v>
      </c>
      <c r="AF25" s="10">
        <f>IF(Dashboard!$R$24="Float",AF24+Dashboard!$R$24/12,AF24)</f>
        <v>0.06</v>
      </c>
      <c r="AG25" s="14">
        <f t="shared" si="38"/>
        <v>8</v>
      </c>
      <c r="AH25" s="5">
        <f t="shared" si="39"/>
        <v>0</v>
      </c>
      <c r="AI25" s="5">
        <f t="shared" si="23"/>
        <v>0</v>
      </c>
      <c r="AJ25" s="5">
        <f t="shared" si="24"/>
        <v>0</v>
      </c>
      <c r="AK25" s="5">
        <f t="shared" si="40"/>
        <v>0</v>
      </c>
      <c r="AL25" s="5">
        <f t="shared" si="41"/>
        <v>0</v>
      </c>
      <c r="AM25" s="199"/>
      <c r="AN25" s="16">
        <f t="shared" si="56"/>
        <v>2</v>
      </c>
      <c r="AO25" s="17">
        <f t="shared" si="52"/>
        <v>8</v>
      </c>
      <c r="AP25" s="18">
        <f t="shared" ca="1" si="53"/>
        <v>44621</v>
      </c>
      <c r="AQ25" s="10">
        <f>IF(Dashboard!$S$20="Float",AQ24+Dashboard!$T$20/12,AQ24)</f>
        <v>4.4999999999999998E-2</v>
      </c>
      <c r="AR25" s="14">
        <f t="shared" si="42"/>
        <v>8</v>
      </c>
      <c r="AS25" s="5">
        <f t="shared" si="43"/>
        <v>3542273.259043016</v>
      </c>
      <c r="AT25" s="5">
        <f t="shared" si="26"/>
        <v>-18117.071455543854</v>
      </c>
      <c r="AU25" s="5">
        <f t="shared" si="27"/>
        <v>-13283.52472141131</v>
      </c>
      <c r="AV25" s="5">
        <f t="shared" si="44"/>
        <v>-4833.5467341325439</v>
      </c>
      <c r="AW25" s="5">
        <f t="shared" si="45"/>
        <v>3537439.7123088837</v>
      </c>
      <c r="AX25" s="199"/>
    </row>
    <row r="26" spans="1:60">
      <c r="A26" s="73"/>
      <c r="B26" s="572"/>
      <c r="C26" s="16">
        <f t="shared" si="54"/>
        <v>1</v>
      </c>
      <c r="D26" s="17">
        <f t="shared" si="46"/>
        <v>9</v>
      </c>
      <c r="E26" s="18">
        <f t="shared" ca="1" si="47"/>
        <v>44652</v>
      </c>
      <c r="F26" s="10">
        <f>+VLOOKUP($C26,Dashboard!$S$4:$T$13,2,0)</f>
        <v>0.04</v>
      </c>
      <c r="G26" s="14">
        <f t="shared" si="28"/>
        <v>9</v>
      </c>
      <c r="H26" s="5">
        <f t="shared" si="29"/>
        <v>3706267.748535064</v>
      </c>
      <c r="I26" s="5">
        <f t="shared" si="16"/>
        <v>-17903.073579954729</v>
      </c>
      <c r="J26" s="5">
        <f t="shared" si="17"/>
        <v>-12354.225828450215</v>
      </c>
      <c r="K26" s="5">
        <f t="shared" si="30"/>
        <v>-5548.8477515045142</v>
      </c>
      <c r="L26" s="5">
        <f t="shared" si="31"/>
        <v>3700718.9007835593</v>
      </c>
      <c r="M26" s="199"/>
      <c r="N26" s="16">
        <f t="shared" ca="1" si="32"/>
        <v>0</v>
      </c>
      <c r="O26" s="508">
        <f t="shared" ca="1" si="18"/>
        <v>0</v>
      </c>
      <c r="P26" s="16">
        <f t="shared" ca="1" si="19"/>
        <v>0</v>
      </c>
      <c r="Q26" s="17">
        <f t="shared" si="48"/>
        <v>9</v>
      </c>
      <c r="R26" s="18">
        <f t="shared" si="49"/>
        <v>40057</v>
      </c>
      <c r="S26" s="10">
        <f t="shared" si="33"/>
        <v>0.04</v>
      </c>
      <c r="T26" s="14" t="str">
        <f t="shared" ca="1" si="34"/>
        <v>I/O</v>
      </c>
      <c r="U26" s="5">
        <f t="shared" ca="1" si="35"/>
        <v>500000</v>
      </c>
      <c r="V26" s="5">
        <f t="shared" ca="1" si="20"/>
        <v>-1666.6666666666667</v>
      </c>
      <c r="W26" s="5">
        <f t="shared" ca="1" si="21"/>
        <v>-1666.6666666666667</v>
      </c>
      <c r="X26" s="5">
        <f t="shared" ca="1" si="36"/>
        <v>0</v>
      </c>
      <c r="Y26" s="5">
        <f t="shared" ca="1" si="37"/>
        <v>500000</v>
      </c>
      <c r="Z26" s="199"/>
      <c r="AA26" s="16">
        <f t="shared" ca="1" si="25"/>
        <v>1</v>
      </c>
      <c r="AB26" s="508">
        <f t="shared" ca="1" si="22"/>
        <v>8</v>
      </c>
      <c r="AC26" s="16">
        <f t="shared" si="55"/>
        <v>1</v>
      </c>
      <c r="AD26" s="17">
        <f t="shared" si="50"/>
        <v>9</v>
      </c>
      <c r="AE26" s="18">
        <f t="shared" ca="1" si="51"/>
        <v>44652</v>
      </c>
      <c r="AF26" s="10">
        <f>IF(Dashboard!$R$24="Float",AF25+Dashboard!$R$24/12,AF25)</f>
        <v>0.06</v>
      </c>
      <c r="AG26" s="14">
        <f t="shared" si="38"/>
        <v>9</v>
      </c>
      <c r="AH26" s="5">
        <f t="shared" si="39"/>
        <v>0</v>
      </c>
      <c r="AI26" s="5">
        <f t="shared" si="23"/>
        <v>0</v>
      </c>
      <c r="AJ26" s="5">
        <f t="shared" si="24"/>
        <v>0</v>
      </c>
      <c r="AK26" s="5">
        <f t="shared" si="40"/>
        <v>0</v>
      </c>
      <c r="AL26" s="5">
        <f t="shared" si="41"/>
        <v>0</v>
      </c>
      <c r="AM26" s="199"/>
      <c r="AN26" s="16">
        <f t="shared" si="56"/>
        <v>2</v>
      </c>
      <c r="AO26" s="17">
        <f t="shared" si="52"/>
        <v>9</v>
      </c>
      <c r="AP26" s="18">
        <f t="shared" ca="1" si="53"/>
        <v>44652</v>
      </c>
      <c r="AQ26" s="10">
        <f>IF(Dashboard!$S$20="Float",AQ25+Dashboard!$T$20/12,AQ25)</f>
        <v>4.4999999999999998E-2</v>
      </c>
      <c r="AR26" s="14">
        <f t="shared" si="42"/>
        <v>9</v>
      </c>
      <c r="AS26" s="5">
        <f t="shared" si="43"/>
        <v>3537439.7123088837</v>
      </c>
      <c r="AT26" s="5">
        <f t="shared" si="26"/>
        <v>-18117.071455543854</v>
      </c>
      <c r="AU26" s="5">
        <f t="shared" si="27"/>
        <v>-13265.398921158312</v>
      </c>
      <c r="AV26" s="5">
        <f t="shared" si="44"/>
        <v>-4851.6725343855414</v>
      </c>
      <c r="AW26" s="5">
        <f t="shared" si="45"/>
        <v>3532588.039774498</v>
      </c>
      <c r="AX26" s="199"/>
    </row>
    <row r="27" spans="1:60">
      <c r="A27" s="73"/>
      <c r="B27" s="572"/>
      <c r="C27" s="16">
        <f t="shared" si="54"/>
        <v>1</v>
      </c>
      <c r="D27" s="17">
        <f t="shared" si="46"/>
        <v>10</v>
      </c>
      <c r="E27" s="18">
        <f t="shared" ca="1" si="47"/>
        <v>44682</v>
      </c>
      <c r="F27" s="10">
        <f>+VLOOKUP($C27,Dashboard!$S$4:$T$13,2,0)</f>
        <v>0.04</v>
      </c>
      <c r="G27" s="14">
        <f t="shared" si="28"/>
        <v>10</v>
      </c>
      <c r="H27" s="5">
        <f t="shared" si="29"/>
        <v>3700718.9007835593</v>
      </c>
      <c r="I27" s="5">
        <f t="shared" si="16"/>
        <v>-17903.073579954726</v>
      </c>
      <c r="J27" s="5">
        <f t="shared" si="17"/>
        <v>-12335.729669278531</v>
      </c>
      <c r="K27" s="5">
        <f t="shared" si="30"/>
        <v>-5567.3439106761944</v>
      </c>
      <c r="L27" s="5">
        <f t="shared" si="31"/>
        <v>3695151.5568728829</v>
      </c>
      <c r="M27" s="199"/>
      <c r="N27" s="16">
        <f t="shared" ca="1" si="32"/>
        <v>0</v>
      </c>
      <c r="O27" s="508">
        <f t="shared" ca="1" si="18"/>
        <v>0</v>
      </c>
      <c r="P27" s="16">
        <f t="shared" ca="1" si="19"/>
        <v>0</v>
      </c>
      <c r="Q27" s="17">
        <f t="shared" si="48"/>
        <v>10</v>
      </c>
      <c r="R27" s="18">
        <f t="shared" si="49"/>
        <v>40087</v>
      </c>
      <c r="S27" s="10">
        <f t="shared" si="33"/>
        <v>0.04</v>
      </c>
      <c r="T27" s="14" t="str">
        <f t="shared" ca="1" si="34"/>
        <v>I/O</v>
      </c>
      <c r="U27" s="5">
        <f t="shared" ca="1" si="35"/>
        <v>500000</v>
      </c>
      <c r="V27" s="5">
        <f t="shared" ca="1" si="20"/>
        <v>-1666.6666666666667</v>
      </c>
      <c r="W27" s="5">
        <f t="shared" ca="1" si="21"/>
        <v>-1666.6666666666667</v>
      </c>
      <c r="X27" s="5">
        <f t="shared" ca="1" si="36"/>
        <v>0</v>
      </c>
      <c r="Y27" s="5">
        <f t="shared" ca="1" si="37"/>
        <v>500000</v>
      </c>
      <c r="Z27" s="199"/>
      <c r="AA27" s="16">
        <f t="shared" ca="1" si="25"/>
        <v>1</v>
      </c>
      <c r="AB27" s="508">
        <f t="shared" ca="1" si="22"/>
        <v>9</v>
      </c>
      <c r="AC27" s="16">
        <f t="shared" si="55"/>
        <v>1</v>
      </c>
      <c r="AD27" s="17">
        <f t="shared" si="50"/>
        <v>10</v>
      </c>
      <c r="AE27" s="18">
        <f t="shared" ca="1" si="51"/>
        <v>44682</v>
      </c>
      <c r="AF27" s="10">
        <f>IF(Dashboard!$R$24="Float",AF26+Dashboard!$R$24/12,AF26)</f>
        <v>0.06</v>
      </c>
      <c r="AG27" s="14">
        <f t="shared" si="38"/>
        <v>10</v>
      </c>
      <c r="AH27" s="5">
        <f t="shared" si="39"/>
        <v>0</v>
      </c>
      <c r="AI27" s="5">
        <f t="shared" si="23"/>
        <v>0</v>
      </c>
      <c r="AJ27" s="5">
        <f t="shared" si="24"/>
        <v>0</v>
      </c>
      <c r="AK27" s="5">
        <f t="shared" si="40"/>
        <v>0</v>
      </c>
      <c r="AL27" s="5">
        <f t="shared" si="41"/>
        <v>0</v>
      </c>
      <c r="AM27" s="199"/>
      <c r="AN27" s="16">
        <f t="shared" si="56"/>
        <v>2</v>
      </c>
      <c r="AO27" s="17">
        <f t="shared" si="52"/>
        <v>10</v>
      </c>
      <c r="AP27" s="18">
        <f t="shared" ca="1" si="53"/>
        <v>44682</v>
      </c>
      <c r="AQ27" s="10">
        <f>IF(Dashboard!$S$20="Float",AQ26+Dashboard!$T$20/12,AQ26)</f>
        <v>4.4999999999999998E-2</v>
      </c>
      <c r="AR27" s="14">
        <f t="shared" si="42"/>
        <v>10</v>
      </c>
      <c r="AS27" s="5">
        <f t="shared" si="43"/>
        <v>3532588.039774498</v>
      </c>
      <c r="AT27" s="5">
        <f t="shared" si="26"/>
        <v>-18117.071455543857</v>
      </c>
      <c r="AU27" s="5">
        <f t="shared" si="27"/>
        <v>-13247.205149154368</v>
      </c>
      <c r="AV27" s="5">
        <f t="shared" si="44"/>
        <v>-4869.8663063894892</v>
      </c>
      <c r="AW27" s="5">
        <f t="shared" si="45"/>
        <v>3527718.1734681083</v>
      </c>
      <c r="AX27" s="199"/>
    </row>
    <row r="28" spans="1:60">
      <c r="A28" s="73"/>
      <c r="B28" s="572"/>
      <c r="C28" s="16">
        <f t="shared" si="54"/>
        <v>1</v>
      </c>
      <c r="D28" s="17">
        <f t="shared" si="46"/>
        <v>11</v>
      </c>
      <c r="E28" s="18">
        <f t="shared" ca="1" si="47"/>
        <v>44713</v>
      </c>
      <c r="F28" s="10">
        <f>+VLOOKUP($C28,Dashboard!$S$4:$T$13,2,0)</f>
        <v>0.04</v>
      </c>
      <c r="G28" s="14">
        <f t="shared" si="28"/>
        <v>11</v>
      </c>
      <c r="H28" s="5">
        <f t="shared" si="29"/>
        <v>3695151.5568728829</v>
      </c>
      <c r="I28" s="5">
        <f t="shared" si="16"/>
        <v>-17903.073579954726</v>
      </c>
      <c r="J28" s="5">
        <f t="shared" si="17"/>
        <v>-12317.171856242943</v>
      </c>
      <c r="K28" s="5">
        <f t="shared" si="30"/>
        <v>-5585.9017237117823</v>
      </c>
      <c r="L28" s="5">
        <f t="shared" si="31"/>
        <v>3689565.6551491711</v>
      </c>
      <c r="M28" s="199"/>
      <c r="N28" s="16">
        <f t="shared" ca="1" si="32"/>
        <v>0</v>
      </c>
      <c r="O28" s="508">
        <f t="shared" ca="1" si="18"/>
        <v>0</v>
      </c>
      <c r="P28" s="16">
        <f t="shared" ca="1" si="19"/>
        <v>0</v>
      </c>
      <c r="Q28" s="17">
        <f t="shared" si="48"/>
        <v>11</v>
      </c>
      <c r="R28" s="18">
        <f t="shared" si="49"/>
        <v>40118</v>
      </c>
      <c r="S28" s="10">
        <f t="shared" si="33"/>
        <v>0.04</v>
      </c>
      <c r="T28" s="14" t="str">
        <f t="shared" ca="1" si="34"/>
        <v>I/O</v>
      </c>
      <c r="U28" s="5">
        <f t="shared" ca="1" si="35"/>
        <v>500000</v>
      </c>
      <c r="V28" s="5">
        <f t="shared" ca="1" si="20"/>
        <v>-1666.6666666666667</v>
      </c>
      <c r="W28" s="5">
        <f t="shared" ca="1" si="21"/>
        <v>-1666.6666666666667</v>
      </c>
      <c r="X28" s="5">
        <f t="shared" ca="1" si="36"/>
        <v>0</v>
      </c>
      <c r="Y28" s="5">
        <f t="shared" ca="1" si="37"/>
        <v>500000</v>
      </c>
      <c r="Z28" s="199"/>
      <c r="AA28" s="16">
        <f t="shared" ca="1" si="25"/>
        <v>1</v>
      </c>
      <c r="AB28" s="508">
        <f t="shared" ca="1" si="22"/>
        <v>10</v>
      </c>
      <c r="AC28" s="16">
        <f t="shared" si="55"/>
        <v>1</v>
      </c>
      <c r="AD28" s="17">
        <f t="shared" si="50"/>
        <v>11</v>
      </c>
      <c r="AE28" s="18">
        <f t="shared" ca="1" si="51"/>
        <v>44713</v>
      </c>
      <c r="AF28" s="10">
        <f>IF(Dashboard!$R$24="Float",AF27+Dashboard!$R$24/12,AF27)</f>
        <v>0.06</v>
      </c>
      <c r="AG28" s="14">
        <f t="shared" si="38"/>
        <v>11</v>
      </c>
      <c r="AH28" s="5">
        <f t="shared" si="39"/>
        <v>0</v>
      </c>
      <c r="AI28" s="5">
        <f t="shared" si="23"/>
        <v>0</v>
      </c>
      <c r="AJ28" s="5">
        <f t="shared" si="24"/>
        <v>0</v>
      </c>
      <c r="AK28" s="5">
        <f t="shared" si="40"/>
        <v>0</v>
      </c>
      <c r="AL28" s="5">
        <f t="shared" si="41"/>
        <v>0</v>
      </c>
      <c r="AM28" s="199"/>
      <c r="AN28" s="16">
        <f t="shared" si="56"/>
        <v>2</v>
      </c>
      <c r="AO28" s="17">
        <f t="shared" si="52"/>
        <v>11</v>
      </c>
      <c r="AP28" s="18">
        <f t="shared" ca="1" si="53"/>
        <v>44713</v>
      </c>
      <c r="AQ28" s="10">
        <f>IF(Dashboard!$S$20="Float",AQ27+Dashboard!$T$20/12,AQ27)</f>
        <v>4.4999999999999998E-2</v>
      </c>
      <c r="AR28" s="14">
        <f t="shared" si="42"/>
        <v>11</v>
      </c>
      <c r="AS28" s="5">
        <f t="shared" si="43"/>
        <v>3527718.1734681083</v>
      </c>
      <c r="AT28" s="5">
        <f t="shared" si="26"/>
        <v>-18117.071455543854</v>
      </c>
      <c r="AU28" s="5">
        <f t="shared" si="27"/>
        <v>-13228.943150505407</v>
      </c>
      <c r="AV28" s="5">
        <f t="shared" si="44"/>
        <v>-4888.1283050384463</v>
      </c>
      <c r="AW28" s="5">
        <f t="shared" si="45"/>
        <v>3522830.0451630699</v>
      </c>
      <c r="AX28" s="199"/>
    </row>
    <row r="29" spans="1:60">
      <c r="A29" s="73"/>
      <c r="B29" s="572"/>
      <c r="C29" s="16">
        <f t="shared" si="54"/>
        <v>1</v>
      </c>
      <c r="D29" s="17">
        <f t="shared" si="46"/>
        <v>12</v>
      </c>
      <c r="E29" s="18">
        <f t="shared" ca="1" si="47"/>
        <v>44743</v>
      </c>
      <c r="F29" s="10">
        <f>+VLOOKUP($C29,Dashboard!$S$4:$T$13,2,0)</f>
        <v>0.04</v>
      </c>
      <c r="G29" s="14">
        <f t="shared" si="28"/>
        <v>12</v>
      </c>
      <c r="H29" s="5">
        <f t="shared" si="29"/>
        <v>3689565.6551491711</v>
      </c>
      <c r="I29" s="5">
        <f t="shared" si="16"/>
        <v>-17903.073579954726</v>
      </c>
      <c r="J29" s="5">
        <f t="shared" si="17"/>
        <v>-12298.55218383057</v>
      </c>
      <c r="K29" s="5">
        <f t="shared" si="30"/>
        <v>-5604.5213961241552</v>
      </c>
      <c r="L29" s="5">
        <f t="shared" si="31"/>
        <v>3683961.1337530469</v>
      </c>
      <c r="M29" s="199"/>
      <c r="N29" s="16">
        <f t="shared" ca="1" si="32"/>
        <v>0</v>
      </c>
      <c r="O29" s="508">
        <f t="shared" ca="1" si="18"/>
        <v>0</v>
      </c>
      <c r="P29" s="16">
        <f t="shared" ca="1" si="19"/>
        <v>0</v>
      </c>
      <c r="Q29" s="17">
        <f t="shared" si="48"/>
        <v>12</v>
      </c>
      <c r="R29" s="18">
        <f t="shared" si="49"/>
        <v>40148</v>
      </c>
      <c r="S29" s="10">
        <f t="shared" si="33"/>
        <v>0.04</v>
      </c>
      <c r="T29" s="14" t="str">
        <f t="shared" ca="1" si="34"/>
        <v>I/O</v>
      </c>
      <c r="U29" s="5">
        <f t="shared" ca="1" si="35"/>
        <v>500000</v>
      </c>
      <c r="V29" s="5">
        <f t="shared" ca="1" si="20"/>
        <v>-1666.6666666666667</v>
      </c>
      <c r="W29" s="5">
        <f t="shared" ca="1" si="21"/>
        <v>-1666.6666666666667</v>
      </c>
      <c r="X29" s="5">
        <f t="shared" ca="1" si="36"/>
        <v>0</v>
      </c>
      <c r="Y29" s="5">
        <f t="shared" ca="1" si="37"/>
        <v>500000</v>
      </c>
      <c r="Z29" s="199"/>
      <c r="AA29" s="16">
        <f t="shared" ca="1" si="25"/>
        <v>1</v>
      </c>
      <c r="AB29" s="508">
        <f t="shared" ca="1" si="22"/>
        <v>11</v>
      </c>
      <c r="AC29" s="16">
        <f t="shared" si="55"/>
        <v>1</v>
      </c>
      <c r="AD29" s="17">
        <f t="shared" si="50"/>
        <v>12</v>
      </c>
      <c r="AE29" s="18">
        <f t="shared" ca="1" si="51"/>
        <v>44743</v>
      </c>
      <c r="AF29" s="10">
        <f>IF(Dashboard!$R$24="Float",AF28+Dashboard!$R$24/12,AF28)</f>
        <v>0.06</v>
      </c>
      <c r="AG29" s="14">
        <f t="shared" si="38"/>
        <v>12</v>
      </c>
      <c r="AH29" s="5">
        <f t="shared" si="39"/>
        <v>0</v>
      </c>
      <c r="AI29" s="5">
        <f t="shared" si="23"/>
        <v>0</v>
      </c>
      <c r="AJ29" s="5">
        <f t="shared" si="24"/>
        <v>0</v>
      </c>
      <c r="AK29" s="5">
        <f t="shared" si="40"/>
        <v>0</v>
      </c>
      <c r="AL29" s="5">
        <f t="shared" si="41"/>
        <v>0</v>
      </c>
      <c r="AM29" s="199"/>
      <c r="AN29" s="16">
        <f t="shared" si="56"/>
        <v>2</v>
      </c>
      <c r="AO29" s="17">
        <f t="shared" si="52"/>
        <v>12</v>
      </c>
      <c r="AP29" s="18">
        <f t="shared" ca="1" si="53"/>
        <v>44743</v>
      </c>
      <c r="AQ29" s="10">
        <f>IF(Dashboard!$S$20="Float",AQ28+Dashboard!$T$20/12,AQ28)</f>
        <v>4.4999999999999998E-2</v>
      </c>
      <c r="AR29" s="14">
        <f t="shared" si="42"/>
        <v>12</v>
      </c>
      <c r="AS29" s="5">
        <f t="shared" si="43"/>
        <v>3522830.0451630699</v>
      </c>
      <c r="AT29" s="5">
        <f t="shared" si="26"/>
        <v>-18117.071455543854</v>
      </c>
      <c r="AU29" s="5">
        <f t="shared" si="27"/>
        <v>-13210.61266936151</v>
      </c>
      <c r="AV29" s="5">
        <f t="shared" si="44"/>
        <v>-4906.4587861823438</v>
      </c>
      <c r="AW29" s="5">
        <f t="shared" si="45"/>
        <v>3517923.5863768873</v>
      </c>
      <c r="AX29" s="199"/>
    </row>
    <row r="30" spans="1:60" ht="12.75" customHeight="1">
      <c r="A30" s="73"/>
      <c r="B30" s="570">
        <f>+C30</f>
        <v>2</v>
      </c>
      <c r="C30" s="200">
        <f t="shared" ref="C30" si="57">+C29+1</f>
        <v>2</v>
      </c>
      <c r="D30" s="201">
        <v>1</v>
      </c>
      <c r="E30" s="202">
        <f t="shared" ca="1" si="47"/>
        <v>44774</v>
      </c>
      <c r="F30" s="203">
        <f>+VLOOKUP($C30,Dashboard!$S$4:$T$13,2,0)</f>
        <v>0.04</v>
      </c>
      <c r="G30" s="204">
        <f t="shared" si="28"/>
        <v>13</v>
      </c>
      <c r="H30" s="205">
        <f t="shared" si="29"/>
        <v>3683961.1337530469</v>
      </c>
      <c r="I30" s="205">
        <f t="shared" si="16"/>
        <v>-17903.073579954726</v>
      </c>
      <c r="J30" s="205">
        <f t="shared" si="17"/>
        <v>-12279.87044584349</v>
      </c>
      <c r="K30" s="205">
        <f t="shared" si="30"/>
        <v>-5623.2031341112361</v>
      </c>
      <c r="L30" s="205">
        <f t="shared" si="31"/>
        <v>3678337.9306189357</v>
      </c>
      <c r="M30" s="199"/>
      <c r="N30" s="200">
        <f t="shared" ca="1" si="32"/>
        <v>0</v>
      </c>
      <c r="O30" s="509">
        <f t="shared" ca="1" si="18"/>
        <v>0</v>
      </c>
      <c r="P30" s="200">
        <f t="shared" ca="1" si="19"/>
        <v>0</v>
      </c>
      <c r="Q30" s="201">
        <v>1</v>
      </c>
      <c r="R30" s="202">
        <f t="shared" si="49"/>
        <v>40179</v>
      </c>
      <c r="S30" s="203">
        <f t="shared" si="33"/>
        <v>0.04</v>
      </c>
      <c r="T30" s="204" t="str">
        <f t="shared" ca="1" si="34"/>
        <v>I/O</v>
      </c>
      <c r="U30" s="205">
        <f t="shared" ca="1" si="35"/>
        <v>500000</v>
      </c>
      <c r="V30" s="205">
        <f t="shared" ca="1" si="20"/>
        <v>-1666.6666666666667</v>
      </c>
      <c r="W30" s="205">
        <f t="shared" ca="1" si="21"/>
        <v>-1666.6666666666667</v>
      </c>
      <c r="X30" s="205">
        <f t="shared" ca="1" si="36"/>
        <v>0</v>
      </c>
      <c r="Y30" s="205">
        <f t="shared" ca="1" si="37"/>
        <v>500000</v>
      </c>
      <c r="Z30" s="199"/>
      <c r="AA30" s="200">
        <f t="shared" ca="1" si="25"/>
        <v>1</v>
      </c>
      <c r="AB30" s="509">
        <f t="shared" ca="1" si="22"/>
        <v>12</v>
      </c>
      <c r="AC30" s="200">
        <f t="shared" ref="AC30" si="58">+AC29+1</f>
        <v>2</v>
      </c>
      <c r="AD30" s="201">
        <v>1</v>
      </c>
      <c r="AE30" s="202">
        <f t="shared" ca="1" si="51"/>
        <v>44774</v>
      </c>
      <c r="AF30" s="203">
        <f>IF(Dashboard!$R$24="Float",AF29+Dashboard!$R$24/12,AF29)</f>
        <v>0.06</v>
      </c>
      <c r="AG30" s="204">
        <f t="shared" si="38"/>
        <v>13</v>
      </c>
      <c r="AH30" s="205">
        <f t="shared" si="39"/>
        <v>0</v>
      </c>
      <c r="AI30" s="205">
        <f t="shared" si="23"/>
        <v>0</v>
      </c>
      <c r="AJ30" s="205">
        <f t="shared" si="24"/>
        <v>0</v>
      </c>
      <c r="AK30" s="205">
        <f t="shared" si="40"/>
        <v>0</v>
      </c>
      <c r="AL30" s="205">
        <f t="shared" si="41"/>
        <v>0</v>
      </c>
      <c r="AM30" s="199"/>
      <c r="AN30" s="200">
        <f t="shared" ref="AN30" si="59">+AN29+1</f>
        <v>3</v>
      </c>
      <c r="AO30" s="201">
        <v>1</v>
      </c>
      <c r="AP30" s="202">
        <f t="shared" ca="1" si="53"/>
        <v>44774</v>
      </c>
      <c r="AQ30" s="203">
        <f>IF(Dashboard!$S$20="Float",AQ29+Dashboard!$T$20/12,AQ29)</f>
        <v>4.4999999999999998E-2</v>
      </c>
      <c r="AR30" s="204">
        <f t="shared" si="42"/>
        <v>13</v>
      </c>
      <c r="AS30" s="205">
        <f t="shared" si="43"/>
        <v>3517923.5863768873</v>
      </c>
      <c r="AT30" s="205">
        <f t="shared" si="26"/>
        <v>-18117.071455543854</v>
      </c>
      <c r="AU30" s="205">
        <f t="shared" si="27"/>
        <v>-13192.213448913326</v>
      </c>
      <c r="AV30" s="205">
        <f t="shared" si="44"/>
        <v>-4924.8580066305276</v>
      </c>
      <c r="AW30" s="205">
        <f t="shared" si="45"/>
        <v>3512998.7283702567</v>
      </c>
      <c r="AX30" s="199"/>
    </row>
    <row r="31" spans="1:60">
      <c r="A31" s="73"/>
      <c r="B31" s="570"/>
      <c r="C31" s="200">
        <f>+C30</f>
        <v>2</v>
      </c>
      <c r="D31" s="201">
        <f>+D30+1</f>
        <v>2</v>
      </c>
      <c r="E31" s="202">
        <f t="shared" ca="1" si="47"/>
        <v>44805</v>
      </c>
      <c r="F31" s="203">
        <f>+VLOOKUP($C31,Dashboard!$S$4:$T$13,2,0)</f>
        <v>0.04</v>
      </c>
      <c r="G31" s="204">
        <f t="shared" si="28"/>
        <v>14</v>
      </c>
      <c r="H31" s="205">
        <f t="shared" si="29"/>
        <v>3678337.9306189357</v>
      </c>
      <c r="I31" s="205">
        <f t="shared" si="16"/>
        <v>-17903.073579954726</v>
      </c>
      <c r="J31" s="205">
        <f t="shared" si="17"/>
        <v>-12261.126435396453</v>
      </c>
      <c r="K31" s="205">
        <f t="shared" si="30"/>
        <v>-5641.9471445582731</v>
      </c>
      <c r="L31" s="205">
        <f t="shared" si="31"/>
        <v>3672695.9834743775</v>
      </c>
      <c r="M31" s="199"/>
      <c r="N31" s="200">
        <f t="shared" ca="1" si="32"/>
        <v>0</v>
      </c>
      <c r="O31" s="509">
        <f t="shared" ca="1" si="18"/>
        <v>0</v>
      </c>
      <c r="P31" s="200">
        <f t="shared" ca="1" si="19"/>
        <v>0</v>
      </c>
      <c r="Q31" s="201">
        <f>+Q30+1</f>
        <v>2</v>
      </c>
      <c r="R31" s="202">
        <f t="shared" si="49"/>
        <v>40210</v>
      </c>
      <c r="S31" s="203">
        <f t="shared" si="33"/>
        <v>0.04</v>
      </c>
      <c r="T31" s="204" t="str">
        <f t="shared" ca="1" si="34"/>
        <v>I/O</v>
      </c>
      <c r="U31" s="205">
        <f t="shared" ca="1" si="35"/>
        <v>500000</v>
      </c>
      <c r="V31" s="205">
        <f t="shared" ca="1" si="20"/>
        <v>-1666.6666666666667</v>
      </c>
      <c r="W31" s="205">
        <f t="shared" ca="1" si="21"/>
        <v>-1666.6666666666667</v>
      </c>
      <c r="X31" s="205">
        <f t="shared" ca="1" si="36"/>
        <v>0</v>
      </c>
      <c r="Y31" s="205">
        <f t="shared" ca="1" si="37"/>
        <v>500000</v>
      </c>
      <c r="Z31" s="199"/>
      <c r="AA31" s="200">
        <f t="shared" ca="1" si="25"/>
        <v>2</v>
      </c>
      <c r="AB31" s="509">
        <f t="shared" ca="1" si="22"/>
        <v>13</v>
      </c>
      <c r="AC31" s="200">
        <f>+AC30</f>
        <v>2</v>
      </c>
      <c r="AD31" s="201">
        <f>+AD30+1</f>
        <v>2</v>
      </c>
      <c r="AE31" s="202">
        <f t="shared" ca="1" si="51"/>
        <v>44805</v>
      </c>
      <c r="AF31" s="203">
        <f>IF(Dashboard!$R$24="Float",AF30+Dashboard!$R$24/12,AF30)</f>
        <v>0.06</v>
      </c>
      <c r="AG31" s="204">
        <f t="shared" si="38"/>
        <v>14</v>
      </c>
      <c r="AH31" s="205">
        <f t="shared" si="39"/>
        <v>0</v>
      </c>
      <c r="AI31" s="205">
        <f t="shared" si="23"/>
        <v>0</v>
      </c>
      <c r="AJ31" s="205">
        <f t="shared" si="24"/>
        <v>0</v>
      </c>
      <c r="AK31" s="205">
        <f t="shared" si="40"/>
        <v>0</v>
      </c>
      <c r="AL31" s="205">
        <f t="shared" si="41"/>
        <v>0</v>
      </c>
      <c r="AM31" s="199"/>
      <c r="AN31" s="200">
        <f>+AN30</f>
        <v>3</v>
      </c>
      <c r="AO31" s="201">
        <f>+AO30+1</f>
        <v>2</v>
      </c>
      <c r="AP31" s="202">
        <f t="shared" ca="1" si="53"/>
        <v>44805</v>
      </c>
      <c r="AQ31" s="203">
        <f>IF(Dashboard!$S$20="Float",AQ30+Dashboard!$T$20/12,AQ30)</f>
        <v>4.4999999999999998E-2</v>
      </c>
      <c r="AR31" s="204">
        <f t="shared" si="42"/>
        <v>14</v>
      </c>
      <c r="AS31" s="205">
        <f t="shared" si="43"/>
        <v>3512998.7283702567</v>
      </c>
      <c r="AT31" s="205">
        <f t="shared" si="26"/>
        <v>-18117.071455543854</v>
      </c>
      <c r="AU31" s="205">
        <f t="shared" si="27"/>
        <v>-13173.745231388462</v>
      </c>
      <c r="AV31" s="205">
        <f t="shared" si="44"/>
        <v>-4943.3262241553912</v>
      </c>
      <c r="AW31" s="205">
        <f t="shared" si="45"/>
        <v>3508055.4021461015</v>
      </c>
      <c r="AX31" s="199"/>
    </row>
    <row r="32" spans="1:60">
      <c r="A32" s="73"/>
      <c r="B32" s="570"/>
      <c r="C32" s="200">
        <f>+C31</f>
        <v>2</v>
      </c>
      <c r="D32" s="201">
        <f>+D31+1</f>
        <v>3</v>
      </c>
      <c r="E32" s="202">
        <f t="shared" ca="1" si="47"/>
        <v>44835</v>
      </c>
      <c r="F32" s="203">
        <f>+VLOOKUP($C32,Dashboard!$S$4:$T$13,2,0)</f>
        <v>0.04</v>
      </c>
      <c r="G32" s="204">
        <f t="shared" si="28"/>
        <v>15</v>
      </c>
      <c r="H32" s="205">
        <f t="shared" si="29"/>
        <v>3672695.9834743775</v>
      </c>
      <c r="I32" s="205">
        <f t="shared" si="16"/>
        <v>-17903.073579954726</v>
      </c>
      <c r="J32" s="205">
        <f t="shared" si="17"/>
        <v>-12242.319944914592</v>
      </c>
      <c r="K32" s="205">
        <f t="shared" si="30"/>
        <v>-5660.7536350401333</v>
      </c>
      <c r="L32" s="205">
        <f t="shared" si="31"/>
        <v>3667035.2298393375</v>
      </c>
      <c r="M32" s="199"/>
      <c r="N32" s="200">
        <f t="shared" ca="1" si="32"/>
        <v>0</v>
      </c>
      <c r="O32" s="509">
        <f t="shared" ca="1" si="18"/>
        <v>0</v>
      </c>
      <c r="P32" s="200">
        <f t="shared" ca="1" si="19"/>
        <v>0</v>
      </c>
      <c r="Q32" s="201">
        <f>+Q31+1</f>
        <v>3</v>
      </c>
      <c r="R32" s="202">
        <f t="shared" si="49"/>
        <v>40238</v>
      </c>
      <c r="S32" s="203">
        <f t="shared" si="33"/>
        <v>0.04</v>
      </c>
      <c r="T32" s="204" t="str">
        <f t="shared" ca="1" si="34"/>
        <v>I/O</v>
      </c>
      <c r="U32" s="205">
        <f t="shared" ca="1" si="35"/>
        <v>500000</v>
      </c>
      <c r="V32" s="205">
        <f t="shared" ca="1" si="20"/>
        <v>-1666.6666666666667</v>
      </c>
      <c r="W32" s="205">
        <f t="shared" ca="1" si="21"/>
        <v>-1666.6666666666667</v>
      </c>
      <c r="X32" s="205">
        <f t="shared" ca="1" si="36"/>
        <v>0</v>
      </c>
      <c r="Y32" s="205">
        <f t="shared" ca="1" si="37"/>
        <v>500000</v>
      </c>
      <c r="Z32" s="199"/>
      <c r="AA32" s="200">
        <f t="shared" ca="1" si="25"/>
        <v>2</v>
      </c>
      <c r="AB32" s="509">
        <f t="shared" ca="1" si="22"/>
        <v>14</v>
      </c>
      <c r="AC32" s="200">
        <f>+AC31</f>
        <v>2</v>
      </c>
      <c r="AD32" s="201">
        <f>+AD31+1</f>
        <v>3</v>
      </c>
      <c r="AE32" s="202">
        <f t="shared" ca="1" si="51"/>
        <v>44835</v>
      </c>
      <c r="AF32" s="203">
        <f>IF(Dashboard!$R$24="Float",AF31+Dashboard!$R$24/12,AF31)</f>
        <v>0.06</v>
      </c>
      <c r="AG32" s="204">
        <f t="shared" si="38"/>
        <v>15</v>
      </c>
      <c r="AH32" s="205">
        <f t="shared" si="39"/>
        <v>0</v>
      </c>
      <c r="AI32" s="205">
        <f t="shared" si="23"/>
        <v>0</v>
      </c>
      <c r="AJ32" s="205">
        <f t="shared" si="24"/>
        <v>0</v>
      </c>
      <c r="AK32" s="205">
        <f t="shared" si="40"/>
        <v>0</v>
      </c>
      <c r="AL32" s="205">
        <f t="shared" si="41"/>
        <v>0</v>
      </c>
      <c r="AM32" s="199"/>
      <c r="AN32" s="200">
        <f>+AN31</f>
        <v>3</v>
      </c>
      <c r="AO32" s="201">
        <f>+AO31+1</f>
        <v>3</v>
      </c>
      <c r="AP32" s="202">
        <f t="shared" ca="1" si="53"/>
        <v>44835</v>
      </c>
      <c r="AQ32" s="203">
        <f>IF(Dashboard!$S$20="Float",AQ31+Dashboard!$T$20/12,AQ31)</f>
        <v>4.4999999999999998E-2</v>
      </c>
      <c r="AR32" s="204">
        <f t="shared" si="42"/>
        <v>15</v>
      </c>
      <c r="AS32" s="205">
        <f t="shared" si="43"/>
        <v>3508055.4021461015</v>
      </c>
      <c r="AT32" s="205">
        <f t="shared" si="26"/>
        <v>-18117.071455543857</v>
      </c>
      <c r="AU32" s="205">
        <f t="shared" si="27"/>
        <v>-13155.20775804788</v>
      </c>
      <c r="AV32" s="205">
        <f t="shared" si="44"/>
        <v>-4961.8636974959772</v>
      </c>
      <c r="AW32" s="205">
        <f t="shared" si="45"/>
        <v>3503093.5384486057</v>
      </c>
      <c r="AX32" s="199"/>
    </row>
    <row r="33" spans="1:50">
      <c r="A33" s="73"/>
      <c r="B33" s="570"/>
      <c r="C33" s="200">
        <f>+C32</f>
        <v>2</v>
      </c>
      <c r="D33" s="201">
        <f t="shared" ref="D33:D41" si="60">+D32+1</f>
        <v>4</v>
      </c>
      <c r="E33" s="202">
        <f t="shared" ca="1" si="47"/>
        <v>44866</v>
      </c>
      <c r="F33" s="203">
        <f>+VLOOKUP($C33,Dashboard!$S$4:$T$13,2,0)</f>
        <v>0.04</v>
      </c>
      <c r="G33" s="204">
        <f t="shared" si="28"/>
        <v>16</v>
      </c>
      <c r="H33" s="205">
        <f t="shared" si="29"/>
        <v>3667035.2298393375</v>
      </c>
      <c r="I33" s="205">
        <f t="shared" si="16"/>
        <v>-17903.073579954729</v>
      </c>
      <c r="J33" s="205">
        <f t="shared" si="17"/>
        <v>-12223.450766131124</v>
      </c>
      <c r="K33" s="205">
        <f t="shared" si="30"/>
        <v>-5679.6228138236056</v>
      </c>
      <c r="L33" s="205">
        <f t="shared" si="31"/>
        <v>3661355.6070255139</v>
      </c>
      <c r="M33" s="199"/>
      <c r="N33" s="200">
        <f t="shared" ca="1" si="32"/>
        <v>0</v>
      </c>
      <c r="O33" s="509">
        <f t="shared" ca="1" si="18"/>
        <v>0</v>
      </c>
      <c r="P33" s="200">
        <f t="shared" ca="1" si="19"/>
        <v>0</v>
      </c>
      <c r="Q33" s="201">
        <f t="shared" ref="Q33:Q41" si="61">+Q32+1</f>
        <v>4</v>
      </c>
      <c r="R33" s="202">
        <f t="shared" si="49"/>
        <v>40269</v>
      </c>
      <c r="S33" s="203">
        <f t="shared" si="33"/>
        <v>0.04</v>
      </c>
      <c r="T33" s="204" t="str">
        <f t="shared" ca="1" si="34"/>
        <v>I/O</v>
      </c>
      <c r="U33" s="205">
        <f t="shared" ca="1" si="35"/>
        <v>500000</v>
      </c>
      <c r="V33" s="205">
        <f t="shared" ca="1" si="20"/>
        <v>-1666.6666666666667</v>
      </c>
      <c r="W33" s="205">
        <f t="shared" ca="1" si="21"/>
        <v>-1666.6666666666667</v>
      </c>
      <c r="X33" s="205">
        <f t="shared" ca="1" si="36"/>
        <v>0</v>
      </c>
      <c r="Y33" s="205">
        <f t="shared" ca="1" si="37"/>
        <v>500000</v>
      </c>
      <c r="Z33" s="199"/>
      <c r="AA33" s="200">
        <f t="shared" ca="1" si="25"/>
        <v>2</v>
      </c>
      <c r="AB33" s="509">
        <f t="shared" ca="1" si="22"/>
        <v>15</v>
      </c>
      <c r="AC33" s="200">
        <f>+AC32</f>
        <v>2</v>
      </c>
      <c r="AD33" s="201">
        <f t="shared" ref="AD33:AD41" si="62">+AD32+1</f>
        <v>4</v>
      </c>
      <c r="AE33" s="202">
        <f t="shared" ca="1" si="51"/>
        <v>44866</v>
      </c>
      <c r="AF33" s="203">
        <f>IF(Dashboard!$R$24="Float",AF32+Dashboard!$R$24/12,AF32)</f>
        <v>0.06</v>
      </c>
      <c r="AG33" s="204">
        <f t="shared" si="38"/>
        <v>16</v>
      </c>
      <c r="AH33" s="205">
        <f t="shared" si="39"/>
        <v>0</v>
      </c>
      <c r="AI33" s="205">
        <f t="shared" si="23"/>
        <v>0</v>
      </c>
      <c r="AJ33" s="205">
        <f t="shared" si="24"/>
        <v>0</v>
      </c>
      <c r="AK33" s="205">
        <f t="shared" si="40"/>
        <v>0</v>
      </c>
      <c r="AL33" s="205">
        <f t="shared" si="41"/>
        <v>0</v>
      </c>
      <c r="AM33" s="199"/>
      <c r="AN33" s="200">
        <f>+AN32</f>
        <v>3</v>
      </c>
      <c r="AO33" s="201">
        <f t="shared" ref="AO33:AO41" si="63">+AO32+1</f>
        <v>4</v>
      </c>
      <c r="AP33" s="202">
        <f t="shared" ca="1" si="53"/>
        <v>44866</v>
      </c>
      <c r="AQ33" s="203">
        <f>IF(Dashboard!$S$20="Float",AQ32+Dashboard!$T$20/12,AQ32)</f>
        <v>4.4999999999999998E-2</v>
      </c>
      <c r="AR33" s="204">
        <f t="shared" si="42"/>
        <v>16</v>
      </c>
      <c r="AS33" s="205">
        <f t="shared" si="43"/>
        <v>3503093.5384486057</v>
      </c>
      <c r="AT33" s="205">
        <f t="shared" si="26"/>
        <v>-18117.071455543854</v>
      </c>
      <c r="AU33" s="205">
        <f t="shared" si="27"/>
        <v>-13136.600769182272</v>
      </c>
      <c r="AV33" s="205">
        <f t="shared" si="44"/>
        <v>-4980.4706863615811</v>
      </c>
      <c r="AW33" s="205">
        <f t="shared" si="45"/>
        <v>3498113.067762244</v>
      </c>
      <c r="AX33" s="199"/>
    </row>
    <row r="34" spans="1:50">
      <c r="A34" s="73"/>
      <c r="B34" s="570"/>
      <c r="C34" s="200">
        <f t="shared" ref="C34:C41" si="64">+C33</f>
        <v>2</v>
      </c>
      <c r="D34" s="201">
        <f t="shared" si="60"/>
        <v>5</v>
      </c>
      <c r="E34" s="202">
        <f t="shared" ca="1" si="47"/>
        <v>44896</v>
      </c>
      <c r="F34" s="203">
        <f>+VLOOKUP($C34,Dashboard!$S$4:$T$13,2,0)</f>
        <v>0.04</v>
      </c>
      <c r="G34" s="204">
        <f t="shared" si="28"/>
        <v>17</v>
      </c>
      <c r="H34" s="205">
        <f t="shared" si="29"/>
        <v>3661355.6070255139</v>
      </c>
      <c r="I34" s="205">
        <f t="shared" si="16"/>
        <v>-17903.073579954726</v>
      </c>
      <c r="J34" s="205">
        <f t="shared" si="17"/>
        <v>-12204.518690085046</v>
      </c>
      <c r="K34" s="205">
        <f t="shared" si="30"/>
        <v>-5698.5548898696798</v>
      </c>
      <c r="L34" s="205">
        <f t="shared" si="31"/>
        <v>3655657.052135644</v>
      </c>
      <c r="M34" s="199"/>
      <c r="N34" s="200">
        <f t="shared" ca="1" si="32"/>
        <v>0</v>
      </c>
      <c r="O34" s="509">
        <f t="shared" ca="1" si="18"/>
        <v>0</v>
      </c>
      <c r="P34" s="200">
        <f t="shared" ca="1" si="19"/>
        <v>0</v>
      </c>
      <c r="Q34" s="201">
        <f t="shared" si="61"/>
        <v>5</v>
      </c>
      <c r="R34" s="202">
        <f t="shared" si="49"/>
        <v>40299</v>
      </c>
      <c r="S34" s="203">
        <f t="shared" si="33"/>
        <v>0.04</v>
      </c>
      <c r="T34" s="204" t="str">
        <f t="shared" ca="1" si="34"/>
        <v>I/O</v>
      </c>
      <c r="U34" s="205">
        <f t="shared" ca="1" si="35"/>
        <v>500000</v>
      </c>
      <c r="V34" s="205">
        <f t="shared" ca="1" si="20"/>
        <v>-1666.6666666666667</v>
      </c>
      <c r="W34" s="205">
        <f t="shared" ca="1" si="21"/>
        <v>-1666.6666666666667</v>
      </c>
      <c r="X34" s="205">
        <f t="shared" ca="1" si="36"/>
        <v>0</v>
      </c>
      <c r="Y34" s="205">
        <f t="shared" ca="1" si="37"/>
        <v>500000</v>
      </c>
      <c r="Z34" s="199"/>
      <c r="AA34" s="200">
        <f t="shared" ca="1" si="25"/>
        <v>2</v>
      </c>
      <c r="AB34" s="509">
        <f t="shared" ca="1" si="22"/>
        <v>16</v>
      </c>
      <c r="AC34" s="200">
        <f t="shared" ref="AC34:AC41" si="65">+AC33</f>
        <v>2</v>
      </c>
      <c r="AD34" s="201">
        <f t="shared" si="62"/>
        <v>5</v>
      </c>
      <c r="AE34" s="202">
        <f t="shared" ca="1" si="51"/>
        <v>44896</v>
      </c>
      <c r="AF34" s="203">
        <f>IF(Dashboard!$R$24="Float",AF33+Dashboard!$R$24/12,AF33)</f>
        <v>0.06</v>
      </c>
      <c r="AG34" s="204">
        <f t="shared" si="38"/>
        <v>17</v>
      </c>
      <c r="AH34" s="205">
        <f t="shared" si="39"/>
        <v>0</v>
      </c>
      <c r="AI34" s="205">
        <f t="shared" si="23"/>
        <v>0</v>
      </c>
      <c r="AJ34" s="205">
        <f t="shared" si="24"/>
        <v>0</v>
      </c>
      <c r="AK34" s="205">
        <f t="shared" si="40"/>
        <v>0</v>
      </c>
      <c r="AL34" s="205">
        <f t="shared" si="41"/>
        <v>0</v>
      </c>
      <c r="AM34" s="199"/>
      <c r="AN34" s="200">
        <f t="shared" ref="AN34:AN41" si="66">+AN33</f>
        <v>3</v>
      </c>
      <c r="AO34" s="201">
        <f t="shared" si="63"/>
        <v>5</v>
      </c>
      <c r="AP34" s="202">
        <f t="shared" ca="1" si="53"/>
        <v>44896</v>
      </c>
      <c r="AQ34" s="203">
        <f>IF(Dashboard!$S$20="Float",AQ33+Dashboard!$T$20/12,AQ33)</f>
        <v>4.4999999999999998E-2</v>
      </c>
      <c r="AR34" s="204">
        <f t="shared" si="42"/>
        <v>17</v>
      </c>
      <c r="AS34" s="205">
        <f t="shared" si="43"/>
        <v>3498113.067762244</v>
      </c>
      <c r="AT34" s="205">
        <f t="shared" si="26"/>
        <v>-18117.071455543854</v>
      </c>
      <c r="AU34" s="205">
        <f t="shared" si="27"/>
        <v>-13117.924004108414</v>
      </c>
      <c r="AV34" s="205">
        <f t="shared" si="44"/>
        <v>-4999.1474514354395</v>
      </c>
      <c r="AW34" s="205">
        <f t="shared" si="45"/>
        <v>3493113.9203108088</v>
      </c>
      <c r="AX34" s="199"/>
    </row>
    <row r="35" spans="1:50">
      <c r="A35" s="73"/>
      <c r="B35" s="570"/>
      <c r="C35" s="200">
        <f t="shared" si="64"/>
        <v>2</v>
      </c>
      <c r="D35" s="201">
        <f t="shared" si="60"/>
        <v>6</v>
      </c>
      <c r="E35" s="202">
        <f t="shared" ca="1" si="47"/>
        <v>44927</v>
      </c>
      <c r="F35" s="203">
        <f>+VLOOKUP($C35,Dashboard!$S$4:$T$13,2,0)</f>
        <v>0.04</v>
      </c>
      <c r="G35" s="204">
        <f t="shared" si="28"/>
        <v>18</v>
      </c>
      <c r="H35" s="205">
        <f t="shared" si="29"/>
        <v>3655657.052135644</v>
      </c>
      <c r="I35" s="205">
        <f t="shared" si="16"/>
        <v>-17903.073579954726</v>
      </c>
      <c r="J35" s="205">
        <f t="shared" si="17"/>
        <v>-12185.523507118814</v>
      </c>
      <c r="K35" s="205">
        <f t="shared" si="30"/>
        <v>-5717.5500728359111</v>
      </c>
      <c r="L35" s="205">
        <f t="shared" si="31"/>
        <v>3649939.5020628083</v>
      </c>
      <c r="M35" s="199"/>
      <c r="N35" s="200">
        <f t="shared" ca="1" si="32"/>
        <v>0</v>
      </c>
      <c r="O35" s="509">
        <f t="shared" ca="1" si="18"/>
        <v>0</v>
      </c>
      <c r="P35" s="200">
        <f t="shared" ca="1" si="19"/>
        <v>0</v>
      </c>
      <c r="Q35" s="201">
        <f t="shared" si="61"/>
        <v>6</v>
      </c>
      <c r="R35" s="202">
        <f t="shared" si="49"/>
        <v>40330</v>
      </c>
      <c r="S35" s="203">
        <f t="shared" si="33"/>
        <v>0.04</v>
      </c>
      <c r="T35" s="204" t="str">
        <f t="shared" ca="1" si="34"/>
        <v>I/O</v>
      </c>
      <c r="U35" s="205">
        <f t="shared" ca="1" si="35"/>
        <v>500000</v>
      </c>
      <c r="V35" s="205">
        <f t="shared" ca="1" si="20"/>
        <v>-1666.6666666666667</v>
      </c>
      <c r="W35" s="205">
        <f t="shared" ca="1" si="21"/>
        <v>-1666.6666666666667</v>
      </c>
      <c r="X35" s="205">
        <f t="shared" ca="1" si="36"/>
        <v>0</v>
      </c>
      <c r="Y35" s="205">
        <f t="shared" ca="1" si="37"/>
        <v>500000</v>
      </c>
      <c r="Z35" s="199"/>
      <c r="AA35" s="200">
        <f t="shared" ca="1" si="25"/>
        <v>2</v>
      </c>
      <c r="AB35" s="509">
        <f t="shared" ca="1" si="22"/>
        <v>17</v>
      </c>
      <c r="AC35" s="200">
        <f t="shared" si="65"/>
        <v>2</v>
      </c>
      <c r="AD35" s="201">
        <f t="shared" si="62"/>
        <v>6</v>
      </c>
      <c r="AE35" s="202">
        <f t="shared" ca="1" si="51"/>
        <v>44927</v>
      </c>
      <c r="AF35" s="203">
        <f>IF(Dashboard!$R$24="Float",AF34+Dashboard!$R$24/12,AF34)</f>
        <v>0.06</v>
      </c>
      <c r="AG35" s="204">
        <f t="shared" si="38"/>
        <v>18</v>
      </c>
      <c r="AH35" s="205">
        <f t="shared" si="39"/>
        <v>0</v>
      </c>
      <c r="AI35" s="205">
        <f t="shared" si="23"/>
        <v>0</v>
      </c>
      <c r="AJ35" s="205">
        <f t="shared" si="24"/>
        <v>0</v>
      </c>
      <c r="AK35" s="205">
        <f t="shared" si="40"/>
        <v>0</v>
      </c>
      <c r="AL35" s="205">
        <f t="shared" si="41"/>
        <v>0</v>
      </c>
      <c r="AM35" s="199"/>
      <c r="AN35" s="200">
        <f t="shared" si="66"/>
        <v>3</v>
      </c>
      <c r="AO35" s="201">
        <f t="shared" si="63"/>
        <v>6</v>
      </c>
      <c r="AP35" s="202">
        <f t="shared" ca="1" si="53"/>
        <v>44927</v>
      </c>
      <c r="AQ35" s="203">
        <f>IF(Dashboard!$S$20="Float",AQ34+Dashboard!$T$20/12,AQ34)</f>
        <v>4.4999999999999998E-2</v>
      </c>
      <c r="AR35" s="204">
        <f t="shared" si="42"/>
        <v>18</v>
      </c>
      <c r="AS35" s="205">
        <f t="shared" si="43"/>
        <v>3493113.9203108088</v>
      </c>
      <c r="AT35" s="205">
        <f t="shared" si="26"/>
        <v>-18117.071455543857</v>
      </c>
      <c r="AU35" s="205">
        <f t="shared" si="27"/>
        <v>-13099.177201165532</v>
      </c>
      <c r="AV35" s="205">
        <f t="shared" si="44"/>
        <v>-5017.8942543783251</v>
      </c>
      <c r="AW35" s="205">
        <f t="shared" si="45"/>
        <v>3488096.0260564303</v>
      </c>
      <c r="AX35" s="199"/>
    </row>
    <row r="36" spans="1:50">
      <c r="A36" s="73"/>
      <c r="B36" s="570"/>
      <c r="C36" s="200">
        <f t="shared" si="64"/>
        <v>2</v>
      </c>
      <c r="D36" s="201">
        <f t="shared" si="60"/>
        <v>7</v>
      </c>
      <c r="E36" s="202">
        <f t="shared" ca="1" si="47"/>
        <v>44958</v>
      </c>
      <c r="F36" s="203">
        <f>+VLOOKUP($C36,Dashboard!$S$4:$T$13,2,0)</f>
        <v>0.04</v>
      </c>
      <c r="G36" s="204">
        <f t="shared" si="28"/>
        <v>19</v>
      </c>
      <c r="H36" s="205">
        <f t="shared" si="29"/>
        <v>3649939.5020628083</v>
      </c>
      <c r="I36" s="205">
        <f t="shared" si="16"/>
        <v>-17903.073579954729</v>
      </c>
      <c r="J36" s="205">
        <f t="shared" si="17"/>
        <v>-12166.465006876029</v>
      </c>
      <c r="K36" s="205">
        <f t="shared" si="30"/>
        <v>-5736.6085730786999</v>
      </c>
      <c r="L36" s="205">
        <f t="shared" si="31"/>
        <v>3644202.8934897296</v>
      </c>
      <c r="M36" s="199"/>
      <c r="N36" s="200">
        <f t="shared" ca="1" si="32"/>
        <v>0</v>
      </c>
      <c r="O36" s="509">
        <f t="shared" ca="1" si="18"/>
        <v>0</v>
      </c>
      <c r="P36" s="200">
        <f t="shared" ca="1" si="19"/>
        <v>0</v>
      </c>
      <c r="Q36" s="201">
        <f t="shared" si="61"/>
        <v>7</v>
      </c>
      <c r="R36" s="202">
        <f t="shared" si="49"/>
        <v>40360</v>
      </c>
      <c r="S36" s="203">
        <f t="shared" si="33"/>
        <v>0.04</v>
      </c>
      <c r="T36" s="204" t="str">
        <f t="shared" ca="1" si="34"/>
        <v>I/O</v>
      </c>
      <c r="U36" s="205">
        <f t="shared" ca="1" si="35"/>
        <v>500000</v>
      </c>
      <c r="V36" s="205">
        <f t="shared" ca="1" si="20"/>
        <v>-1666.6666666666667</v>
      </c>
      <c r="W36" s="205">
        <f t="shared" ca="1" si="21"/>
        <v>-1666.6666666666667</v>
      </c>
      <c r="X36" s="205">
        <f t="shared" ca="1" si="36"/>
        <v>0</v>
      </c>
      <c r="Y36" s="205">
        <f t="shared" ca="1" si="37"/>
        <v>500000</v>
      </c>
      <c r="Z36" s="199"/>
      <c r="AA36" s="200">
        <f t="shared" ca="1" si="25"/>
        <v>2</v>
      </c>
      <c r="AB36" s="509">
        <f t="shared" ca="1" si="22"/>
        <v>18</v>
      </c>
      <c r="AC36" s="200">
        <f t="shared" si="65"/>
        <v>2</v>
      </c>
      <c r="AD36" s="201">
        <f t="shared" si="62"/>
        <v>7</v>
      </c>
      <c r="AE36" s="202">
        <f t="shared" ca="1" si="51"/>
        <v>44958</v>
      </c>
      <c r="AF36" s="203">
        <f>IF(Dashboard!$R$24="Float",AF35+Dashboard!$R$24/12,AF35)</f>
        <v>0.06</v>
      </c>
      <c r="AG36" s="204">
        <f t="shared" si="38"/>
        <v>19</v>
      </c>
      <c r="AH36" s="205">
        <f t="shared" si="39"/>
        <v>0</v>
      </c>
      <c r="AI36" s="205">
        <f t="shared" si="23"/>
        <v>0</v>
      </c>
      <c r="AJ36" s="205">
        <f t="shared" si="24"/>
        <v>0</v>
      </c>
      <c r="AK36" s="205">
        <f t="shared" si="40"/>
        <v>0</v>
      </c>
      <c r="AL36" s="205">
        <f t="shared" si="41"/>
        <v>0</v>
      </c>
      <c r="AM36" s="199"/>
      <c r="AN36" s="200">
        <f t="shared" si="66"/>
        <v>3</v>
      </c>
      <c r="AO36" s="201">
        <f t="shared" si="63"/>
        <v>7</v>
      </c>
      <c r="AP36" s="202">
        <f t="shared" ca="1" si="53"/>
        <v>44958</v>
      </c>
      <c r="AQ36" s="203">
        <f>IF(Dashboard!$S$20="Float",AQ35+Dashboard!$T$20/12,AQ35)</f>
        <v>4.4999999999999998E-2</v>
      </c>
      <c r="AR36" s="204">
        <f t="shared" si="42"/>
        <v>19</v>
      </c>
      <c r="AS36" s="205">
        <f t="shared" si="43"/>
        <v>3488096.0260564303</v>
      </c>
      <c r="AT36" s="205">
        <f t="shared" si="26"/>
        <v>-18117.071455543854</v>
      </c>
      <c r="AU36" s="205">
        <f t="shared" si="27"/>
        <v>-13080.360097711613</v>
      </c>
      <c r="AV36" s="205">
        <f t="shared" si="44"/>
        <v>-5036.7113578322405</v>
      </c>
      <c r="AW36" s="205">
        <f t="shared" si="45"/>
        <v>3483059.3146985979</v>
      </c>
      <c r="AX36" s="199"/>
    </row>
    <row r="37" spans="1:50">
      <c r="A37" s="73"/>
      <c r="B37" s="570"/>
      <c r="C37" s="200">
        <f t="shared" si="64"/>
        <v>2</v>
      </c>
      <c r="D37" s="201">
        <f t="shared" si="60"/>
        <v>8</v>
      </c>
      <c r="E37" s="202">
        <f t="shared" ca="1" si="47"/>
        <v>44986</v>
      </c>
      <c r="F37" s="203">
        <f>+VLOOKUP($C37,Dashboard!$S$4:$T$13,2,0)</f>
        <v>0.04</v>
      </c>
      <c r="G37" s="204">
        <f t="shared" si="28"/>
        <v>20</v>
      </c>
      <c r="H37" s="205">
        <f t="shared" si="29"/>
        <v>3644202.8934897296</v>
      </c>
      <c r="I37" s="205">
        <f t="shared" si="16"/>
        <v>-17903.073579954729</v>
      </c>
      <c r="J37" s="205">
        <f t="shared" si="17"/>
        <v>-12147.342978299099</v>
      </c>
      <c r="K37" s="205">
        <f t="shared" si="30"/>
        <v>-5755.7306016556304</v>
      </c>
      <c r="L37" s="205">
        <f t="shared" si="31"/>
        <v>3638447.1628880738</v>
      </c>
      <c r="M37" s="199"/>
      <c r="N37" s="200">
        <f t="shared" ca="1" si="32"/>
        <v>0</v>
      </c>
      <c r="O37" s="509">
        <f t="shared" ca="1" si="18"/>
        <v>0</v>
      </c>
      <c r="P37" s="200">
        <f t="shared" ca="1" si="19"/>
        <v>0</v>
      </c>
      <c r="Q37" s="201">
        <f t="shared" si="61"/>
        <v>8</v>
      </c>
      <c r="R37" s="202">
        <f t="shared" si="49"/>
        <v>40391</v>
      </c>
      <c r="S37" s="203">
        <f t="shared" si="33"/>
        <v>0.04</v>
      </c>
      <c r="T37" s="204" t="str">
        <f t="shared" ca="1" si="34"/>
        <v>I/O</v>
      </c>
      <c r="U37" s="205">
        <f t="shared" ca="1" si="35"/>
        <v>500000</v>
      </c>
      <c r="V37" s="205">
        <f t="shared" ca="1" si="20"/>
        <v>-1666.6666666666667</v>
      </c>
      <c r="W37" s="205">
        <f t="shared" ca="1" si="21"/>
        <v>-1666.6666666666667</v>
      </c>
      <c r="X37" s="205">
        <f t="shared" ca="1" si="36"/>
        <v>0</v>
      </c>
      <c r="Y37" s="205">
        <f t="shared" ca="1" si="37"/>
        <v>500000</v>
      </c>
      <c r="Z37" s="199"/>
      <c r="AA37" s="200">
        <f t="shared" ca="1" si="25"/>
        <v>2</v>
      </c>
      <c r="AB37" s="509">
        <f t="shared" ca="1" si="22"/>
        <v>19</v>
      </c>
      <c r="AC37" s="200">
        <f t="shared" si="65"/>
        <v>2</v>
      </c>
      <c r="AD37" s="201">
        <f t="shared" si="62"/>
        <v>8</v>
      </c>
      <c r="AE37" s="202">
        <f t="shared" ca="1" si="51"/>
        <v>44986</v>
      </c>
      <c r="AF37" s="203">
        <f>IF(Dashboard!$R$24="Float",AF36+Dashboard!$R$24/12,AF36)</f>
        <v>0.06</v>
      </c>
      <c r="AG37" s="204">
        <f t="shared" si="38"/>
        <v>20</v>
      </c>
      <c r="AH37" s="205">
        <f t="shared" si="39"/>
        <v>0</v>
      </c>
      <c r="AI37" s="205">
        <f t="shared" si="23"/>
        <v>0</v>
      </c>
      <c r="AJ37" s="205">
        <f t="shared" si="24"/>
        <v>0</v>
      </c>
      <c r="AK37" s="205">
        <f t="shared" si="40"/>
        <v>0</v>
      </c>
      <c r="AL37" s="205">
        <f t="shared" si="41"/>
        <v>0</v>
      </c>
      <c r="AM37" s="199"/>
      <c r="AN37" s="200">
        <f t="shared" si="66"/>
        <v>3</v>
      </c>
      <c r="AO37" s="201">
        <f t="shared" si="63"/>
        <v>8</v>
      </c>
      <c r="AP37" s="202">
        <f t="shared" ca="1" si="53"/>
        <v>44986</v>
      </c>
      <c r="AQ37" s="203">
        <f>IF(Dashboard!$S$20="Float",AQ36+Dashboard!$T$20/12,AQ36)</f>
        <v>4.4999999999999998E-2</v>
      </c>
      <c r="AR37" s="204">
        <f t="shared" si="42"/>
        <v>20</v>
      </c>
      <c r="AS37" s="205">
        <f t="shared" si="43"/>
        <v>3483059.3146985979</v>
      </c>
      <c r="AT37" s="205">
        <f t="shared" si="26"/>
        <v>-18117.071455543854</v>
      </c>
      <c r="AU37" s="205">
        <f t="shared" si="27"/>
        <v>-13061.472430119742</v>
      </c>
      <c r="AV37" s="205">
        <f t="shared" si="44"/>
        <v>-5055.5990254241115</v>
      </c>
      <c r="AW37" s="205">
        <f t="shared" si="45"/>
        <v>3478003.7156731738</v>
      </c>
      <c r="AX37" s="199"/>
    </row>
    <row r="38" spans="1:50">
      <c r="A38" s="73"/>
      <c r="B38" s="570"/>
      <c r="C38" s="200">
        <f t="shared" si="64"/>
        <v>2</v>
      </c>
      <c r="D38" s="201">
        <f t="shared" si="60"/>
        <v>9</v>
      </c>
      <c r="E38" s="202">
        <f t="shared" ca="1" si="47"/>
        <v>45017</v>
      </c>
      <c r="F38" s="203">
        <f>+VLOOKUP($C38,Dashboard!$S$4:$T$13,2,0)</f>
        <v>0.04</v>
      </c>
      <c r="G38" s="204">
        <f t="shared" si="28"/>
        <v>21</v>
      </c>
      <c r="H38" s="205">
        <f t="shared" si="29"/>
        <v>3638447.1628880738</v>
      </c>
      <c r="I38" s="205">
        <f t="shared" si="16"/>
        <v>-17903.073579954726</v>
      </c>
      <c r="J38" s="205">
        <f t="shared" si="17"/>
        <v>-12128.157209626914</v>
      </c>
      <c r="K38" s="205">
        <f t="shared" si="30"/>
        <v>-5774.9163703278118</v>
      </c>
      <c r="L38" s="205">
        <f t="shared" si="31"/>
        <v>3632672.2465177462</v>
      </c>
      <c r="M38" s="199"/>
      <c r="N38" s="200">
        <f t="shared" ca="1" si="32"/>
        <v>0</v>
      </c>
      <c r="O38" s="509">
        <f t="shared" ca="1" si="18"/>
        <v>0</v>
      </c>
      <c r="P38" s="200">
        <f t="shared" ca="1" si="19"/>
        <v>0</v>
      </c>
      <c r="Q38" s="201">
        <f t="shared" si="61"/>
        <v>9</v>
      </c>
      <c r="R38" s="202">
        <f t="shared" si="49"/>
        <v>40422</v>
      </c>
      <c r="S38" s="203">
        <f t="shared" si="33"/>
        <v>0.04</v>
      </c>
      <c r="T38" s="204" t="str">
        <f t="shared" ca="1" si="34"/>
        <v>I/O</v>
      </c>
      <c r="U38" s="205">
        <f t="shared" ca="1" si="35"/>
        <v>500000</v>
      </c>
      <c r="V38" s="205">
        <f t="shared" ca="1" si="20"/>
        <v>-1666.6666666666667</v>
      </c>
      <c r="W38" s="205">
        <f t="shared" ca="1" si="21"/>
        <v>-1666.6666666666667</v>
      </c>
      <c r="X38" s="205">
        <f t="shared" ca="1" si="36"/>
        <v>0</v>
      </c>
      <c r="Y38" s="205">
        <f t="shared" ca="1" si="37"/>
        <v>500000</v>
      </c>
      <c r="Z38" s="199"/>
      <c r="AA38" s="200">
        <f t="shared" ca="1" si="25"/>
        <v>2</v>
      </c>
      <c r="AB38" s="509">
        <f t="shared" ca="1" si="22"/>
        <v>20</v>
      </c>
      <c r="AC38" s="200">
        <f t="shared" si="65"/>
        <v>2</v>
      </c>
      <c r="AD38" s="201">
        <f t="shared" si="62"/>
        <v>9</v>
      </c>
      <c r="AE38" s="202">
        <f t="shared" ca="1" si="51"/>
        <v>45017</v>
      </c>
      <c r="AF38" s="203">
        <f>IF(Dashboard!$R$24="Float",AF37+Dashboard!$R$24/12,AF37)</f>
        <v>0.06</v>
      </c>
      <c r="AG38" s="204">
        <f t="shared" si="38"/>
        <v>21</v>
      </c>
      <c r="AH38" s="205">
        <f t="shared" si="39"/>
        <v>0</v>
      </c>
      <c r="AI38" s="205">
        <f t="shared" si="23"/>
        <v>0</v>
      </c>
      <c r="AJ38" s="205">
        <f t="shared" si="24"/>
        <v>0</v>
      </c>
      <c r="AK38" s="205">
        <f t="shared" si="40"/>
        <v>0</v>
      </c>
      <c r="AL38" s="205">
        <f t="shared" si="41"/>
        <v>0</v>
      </c>
      <c r="AM38" s="199"/>
      <c r="AN38" s="200">
        <f t="shared" si="66"/>
        <v>3</v>
      </c>
      <c r="AO38" s="201">
        <f t="shared" si="63"/>
        <v>9</v>
      </c>
      <c r="AP38" s="202">
        <f t="shared" ca="1" si="53"/>
        <v>45017</v>
      </c>
      <c r="AQ38" s="203">
        <f>IF(Dashboard!$S$20="Float",AQ37+Dashboard!$T$20/12,AQ37)</f>
        <v>4.4999999999999998E-2</v>
      </c>
      <c r="AR38" s="204">
        <f t="shared" si="42"/>
        <v>21</v>
      </c>
      <c r="AS38" s="205">
        <f t="shared" si="43"/>
        <v>3478003.7156731738</v>
      </c>
      <c r="AT38" s="205">
        <f t="shared" si="26"/>
        <v>-18117.071455543857</v>
      </c>
      <c r="AU38" s="205">
        <f t="shared" si="27"/>
        <v>-13042.513933774402</v>
      </c>
      <c r="AV38" s="205">
        <f t="shared" si="44"/>
        <v>-5074.557521769455</v>
      </c>
      <c r="AW38" s="205">
        <f t="shared" si="45"/>
        <v>3472929.1581514045</v>
      </c>
      <c r="AX38" s="199"/>
    </row>
    <row r="39" spans="1:50">
      <c r="A39" s="73"/>
      <c r="B39" s="570"/>
      <c r="C39" s="200">
        <f t="shared" si="64"/>
        <v>2</v>
      </c>
      <c r="D39" s="201">
        <f t="shared" si="60"/>
        <v>10</v>
      </c>
      <c r="E39" s="202">
        <f t="shared" ca="1" si="47"/>
        <v>45047</v>
      </c>
      <c r="F39" s="203">
        <f>+VLOOKUP($C39,Dashboard!$S$4:$T$13,2,0)</f>
        <v>0.04</v>
      </c>
      <c r="G39" s="204">
        <f t="shared" si="28"/>
        <v>22</v>
      </c>
      <c r="H39" s="205">
        <f t="shared" si="29"/>
        <v>3632672.2465177462</v>
      </c>
      <c r="I39" s="205">
        <f t="shared" si="16"/>
        <v>-17903.073579954726</v>
      </c>
      <c r="J39" s="205">
        <f t="shared" si="17"/>
        <v>-12108.90748839249</v>
      </c>
      <c r="K39" s="205">
        <f t="shared" si="30"/>
        <v>-5794.166091562236</v>
      </c>
      <c r="L39" s="205">
        <f t="shared" si="31"/>
        <v>3626878.080426184</v>
      </c>
      <c r="M39" s="199"/>
      <c r="N39" s="200">
        <f t="shared" ca="1" si="32"/>
        <v>0</v>
      </c>
      <c r="O39" s="509">
        <f t="shared" ca="1" si="18"/>
        <v>0</v>
      </c>
      <c r="P39" s="200">
        <f t="shared" ca="1" si="19"/>
        <v>0</v>
      </c>
      <c r="Q39" s="201">
        <f t="shared" si="61"/>
        <v>10</v>
      </c>
      <c r="R39" s="202">
        <f t="shared" si="49"/>
        <v>40452</v>
      </c>
      <c r="S39" s="203">
        <f t="shared" si="33"/>
        <v>0.04</v>
      </c>
      <c r="T39" s="204" t="str">
        <f t="shared" ca="1" si="34"/>
        <v>I/O</v>
      </c>
      <c r="U39" s="205">
        <f t="shared" ca="1" si="35"/>
        <v>500000</v>
      </c>
      <c r="V39" s="205">
        <f t="shared" ca="1" si="20"/>
        <v>-1666.6666666666667</v>
      </c>
      <c r="W39" s="205">
        <f t="shared" ca="1" si="21"/>
        <v>-1666.6666666666667</v>
      </c>
      <c r="X39" s="205">
        <f t="shared" ca="1" si="36"/>
        <v>0</v>
      </c>
      <c r="Y39" s="205">
        <f t="shared" ca="1" si="37"/>
        <v>500000</v>
      </c>
      <c r="Z39" s="199"/>
      <c r="AA39" s="200">
        <f t="shared" ca="1" si="25"/>
        <v>2</v>
      </c>
      <c r="AB39" s="509">
        <f t="shared" ca="1" si="22"/>
        <v>21</v>
      </c>
      <c r="AC39" s="200">
        <f t="shared" si="65"/>
        <v>2</v>
      </c>
      <c r="AD39" s="201">
        <f t="shared" si="62"/>
        <v>10</v>
      </c>
      <c r="AE39" s="202">
        <f t="shared" ca="1" si="51"/>
        <v>45047</v>
      </c>
      <c r="AF39" s="203">
        <f>IF(Dashboard!$R$24="Float",AF38+Dashboard!$R$24/12,AF38)</f>
        <v>0.06</v>
      </c>
      <c r="AG39" s="204">
        <f t="shared" si="38"/>
        <v>22</v>
      </c>
      <c r="AH39" s="205">
        <f t="shared" si="39"/>
        <v>0</v>
      </c>
      <c r="AI39" s="205">
        <f t="shared" si="23"/>
        <v>0</v>
      </c>
      <c r="AJ39" s="205">
        <f t="shared" si="24"/>
        <v>0</v>
      </c>
      <c r="AK39" s="205">
        <f t="shared" si="40"/>
        <v>0</v>
      </c>
      <c r="AL39" s="205">
        <f t="shared" si="41"/>
        <v>0</v>
      </c>
      <c r="AM39" s="199"/>
      <c r="AN39" s="200">
        <f t="shared" si="66"/>
        <v>3</v>
      </c>
      <c r="AO39" s="201">
        <f t="shared" si="63"/>
        <v>10</v>
      </c>
      <c r="AP39" s="202">
        <f t="shared" ca="1" si="53"/>
        <v>45047</v>
      </c>
      <c r="AQ39" s="203">
        <f>IF(Dashboard!$S$20="Float",AQ38+Dashboard!$T$20/12,AQ38)</f>
        <v>4.4999999999999998E-2</v>
      </c>
      <c r="AR39" s="204">
        <f t="shared" si="42"/>
        <v>22</v>
      </c>
      <c r="AS39" s="205">
        <f t="shared" si="43"/>
        <v>3472929.1581514045</v>
      </c>
      <c r="AT39" s="205">
        <f t="shared" si="26"/>
        <v>-18117.071455543854</v>
      </c>
      <c r="AU39" s="205">
        <f t="shared" si="27"/>
        <v>-13023.484343067767</v>
      </c>
      <c r="AV39" s="205">
        <f t="shared" si="44"/>
        <v>-5093.587112476087</v>
      </c>
      <c r="AW39" s="205">
        <f t="shared" si="45"/>
        <v>3467835.5710389283</v>
      </c>
      <c r="AX39" s="199"/>
    </row>
    <row r="40" spans="1:50">
      <c r="A40" s="73"/>
      <c r="B40" s="570"/>
      <c r="C40" s="200">
        <f t="shared" si="64"/>
        <v>2</v>
      </c>
      <c r="D40" s="201">
        <f t="shared" si="60"/>
        <v>11</v>
      </c>
      <c r="E40" s="202">
        <f t="shared" ca="1" si="47"/>
        <v>45078</v>
      </c>
      <c r="F40" s="203">
        <f>+VLOOKUP($C40,Dashboard!$S$4:$T$13,2,0)</f>
        <v>0.04</v>
      </c>
      <c r="G40" s="204">
        <f t="shared" si="28"/>
        <v>23</v>
      </c>
      <c r="H40" s="205">
        <f t="shared" si="29"/>
        <v>3626878.080426184</v>
      </c>
      <c r="I40" s="205">
        <f t="shared" si="16"/>
        <v>-17903.073579954726</v>
      </c>
      <c r="J40" s="205">
        <f t="shared" si="17"/>
        <v>-12089.593601420615</v>
      </c>
      <c r="K40" s="205">
        <f t="shared" si="30"/>
        <v>-5813.4799785341111</v>
      </c>
      <c r="L40" s="205">
        <f t="shared" si="31"/>
        <v>3621064.6004476501</v>
      </c>
      <c r="M40" s="199"/>
      <c r="N40" s="200">
        <f t="shared" ca="1" si="32"/>
        <v>0</v>
      </c>
      <c r="O40" s="509">
        <f t="shared" ca="1" si="18"/>
        <v>0</v>
      </c>
      <c r="P40" s="200">
        <f t="shared" ca="1" si="19"/>
        <v>0</v>
      </c>
      <c r="Q40" s="201">
        <f t="shared" si="61"/>
        <v>11</v>
      </c>
      <c r="R40" s="202">
        <f t="shared" si="49"/>
        <v>40483</v>
      </c>
      <c r="S40" s="203">
        <f t="shared" si="33"/>
        <v>0.04</v>
      </c>
      <c r="T40" s="204" t="str">
        <f t="shared" ca="1" si="34"/>
        <v>I/O</v>
      </c>
      <c r="U40" s="205">
        <f t="shared" ca="1" si="35"/>
        <v>500000</v>
      </c>
      <c r="V40" s="205">
        <f t="shared" ca="1" si="20"/>
        <v>-1666.6666666666667</v>
      </c>
      <c r="W40" s="205">
        <f t="shared" ca="1" si="21"/>
        <v>-1666.6666666666667</v>
      </c>
      <c r="X40" s="205">
        <f t="shared" ca="1" si="36"/>
        <v>0</v>
      </c>
      <c r="Y40" s="205">
        <f t="shared" ca="1" si="37"/>
        <v>500000</v>
      </c>
      <c r="Z40" s="199"/>
      <c r="AA40" s="200">
        <f t="shared" ca="1" si="25"/>
        <v>2</v>
      </c>
      <c r="AB40" s="509">
        <f t="shared" ca="1" si="22"/>
        <v>22</v>
      </c>
      <c r="AC40" s="200">
        <f t="shared" si="65"/>
        <v>2</v>
      </c>
      <c r="AD40" s="201">
        <f t="shared" si="62"/>
        <v>11</v>
      </c>
      <c r="AE40" s="202">
        <f t="shared" ca="1" si="51"/>
        <v>45078</v>
      </c>
      <c r="AF40" s="203">
        <f>IF(Dashboard!$R$24="Float",AF39+Dashboard!$R$24/12,AF39)</f>
        <v>0.06</v>
      </c>
      <c r="AG40" s="204">
        <f t="shared" si="38"/>
        <v>23</v>
      </c>
      <c r="AH40" s="205">
        <f t="shared" si="39"/>
        <v>0</v>
      </c>
      <c r="AI40" s="205">
        <f t="shared" si="23"/>
        <v>0</v>
      </c>
      <c r="AJ40" s="205">
        <f t="shared" si="24"/>
        <v>0</v>
      </c>
      <c r="AK40" s="205">
        <f t="shared" si="40"/>
        <v>0</v>
      </c>
      <c r="AL40" s="205">
        <f t="shared" si="41"/>
        <v>0</v>
      </c>
      <c r="AM40" s="199"/>
      <c r="AN40" s="200">
        <f t="shared" si="66"/>
        <v>3</v>
      </c>
      <c r="AO40" s="201">
        <f t="shared" si="63"/>
        <v>11</v>
      </c>
      <c r="AP40" s="202">
        <f t="shared" ca="1" si="53"/>
        <v>45078</v>
      </c>
      <c r="AQ40" s="203">
        <f>IF(Dashboard!$S$20="Float",AQ39+Dashboard!$T$20/12,AQ39)</f>
        <v>4.4999999999999998E-2</v>
      </c>
      <c r="AR40" s="204">
        <f t="shared" si="42"/>
        <v>23</v>
      </c>
      <c r="AS40" s="205">
        <f t="shared" si="43"/>
        <v>3467835.5710389283</v>
      </c>
      <c r="AT40" s="205">
        <f t="shared" si="26"/>
        <v>-18117.071455543857</v>
      </c>
      <c r="AU40" s="205">
        <f t="shared" si="27"/>
        <v>-13004.383391395981</v>
      </c>
      <c r="AV40" s="205">
        <f t="shared" si="44"/>
        <v>-5112.6880641478765</v>
      </c>
      <c r="AW40" s="205">
        <f t="shared" si="45"/>
        <v>3462722.8829747806</v>
      </c>
      <c r="AX40" s="199"/>
    </row>
    <row r="41" spans="1:50">
      <c r="A41" s="73"/>
      <c r="B41" s="570"/>
      <c r="C41" s="200">
        <f t="shared" si="64"/>
        <v>2</v>
      </c>
      <c r="D41" s="201">
        <f t="shared" si="60"/>
        <v>12</v>
      </c>
      <c r="E41" s="202">
        <f t="shared" ca="1" si="47"/>
        <v>45108</v>
      </c>
      <c r="F41" s="203">
        <f>+VLOOKUP($C41,Dashboard!$S$4:$T$13,2,0)</f>
        <v>0.04</v>
      </c>
      <c r="G41" s="204">
        <f t="shared" si="28"/>
        <v>24</v>
      </c>
      <c r="H41" s="205">
        <f t="shared" si="29"/>
        <v>3621064.6004476501</v>
      </c>
      <c r="I41" s="205">
        <f t="shared" si="16"/>
        <v>-17903.073579954726</v>
      </c>
      <c r="J41" s="205">
        <f t="shared" si="17"/>
        <v>-12070.215334825501</v>
      </c>
      <c r="K41" s="205">
        <f t="shared" si="30"/>
        <v>-5832.8582451292241</v>
      </c>
      <c r="L41" s="205">
        <f t="shared" si="31"/>
        <v>3615231.7422025208</v>
      </c>
      <c r="M41" s="199"/>
      <c r="N41" s="200">
        <f t="shared" ca="1" si="32"/>
        <v>0</v>
      </c>
      <c r="O41" s="509">
        <f t="shared" ca="1" si="18"/>
        <v>0</v>
      </c>
      <c r="P41" s="200">
        <f t="shared" ca="1" si="19"/>
        <v>0</v>
      </c>
      <c r="Q41" s="201">
        <f t="shared" si="61"/>
        <v>12</v>
      </c>
      <c r="R41" s="202">
        <f t="shared" si="49"/>
        <v>40513</v>
      </c>
      <c r="S41" s="203">
        <f t="shared" si="33"/>
        <v>0.04</v>
      </c>
      <c r="T41" s="204" t="str">
        <f t="shared" ca="1" si="34"/>
        <v>I/O</v>
      </c>
      <c r="U41" s="205">
        <f t="shared" ca="1" si="35"/>
        <v>500000</v>
      </c>
      <c r="V41" s="205">
        <f t="shared" ca="1" si="20"/>
        <v>-1666.6666666666667</v>
      </c>
      <c r="W41" s="205">
        <f t="shared" ca="1" si="21"/>
        <v>-1666.6666666666667</v>
      </c>
      <c r="X41" s="205">
        <f t="shared" ca="1" si="36"/>
        <v>0</v>
      </c>
      <c r="Y41" s="205">
        <f t="shared" ca="1" si="37"/>
        <v>500000</v>
      </c>
      <c r="Z41" s="199"/>
      <c r="AA41" s="200">
        <f t="shared" ca="1" si="25"/>
        <v>2</v>
      </c>
      <c r="AB41" s="509">
        <f t="shared" ca="1" si="22"/>
        <v>23</v>
      </c>
      <c r="AC41" s="200">
        <f t="shared" si="65"/>
        <v>2</v>
      </c>
      <c r="AD41" s="201">
        <f t="shared" si="62"/>
        <v>12</v>
      </c>
      <c r="AE41" s="202">
        <f t="shared" ca="1" si="51"/>
        <v>45108</v>
      </c>
      <c r="AF41" s="203">
        <f>IF(Dashboard!$R$24="Float",AF40+Dashboard!$R$24/12,AF40)</f>
        <v>0.06</v>
      </c>
      <c r="AG41" s="204">
        <f t="shared" si="38"/>
        <v>24</v>
      </c>
      <c r="AH41" s="205">
        <f t="shared" si="39"/>
        <v>0</v>
      </c>
      <c r="AI41" s="205">
        <f t="shared" si="23"/>
        <v>0</v>
      </c>
      <c r="AJ41" s="205">
        <f t="shared" si="24"/>
        <v>0</v>
      </c>
      <c r="AK41" s="205">
        <f t="shared" si="40"/>
        <v>0</v>
      </c>
      <c r="AL41" s="205">
        <f t="shared" si="41"/>
        <v>0</v>
      </c>
      <c r="AM41" s="199"/>
      <c r="AN41" s="200">
        <f t="shared" si="66"/>
        <v>3</v>
      </c>
      <c r="AO41" s="201">
        <f t="shared" si="63"/>
        <v>12</v>
      </c>
      <c r="AP41" s="202">
        <f t="shared" ca="1" si="53"/>
        <v>45108</v>
      </c>
      <c r="AQ41" s="203">
        <f>IF(Dashboard!$S$20="Float",AQ40+Dashboard!$T$20/12,AQ40)</f>
        <v>4.4999999999999998E-2</v>
      </c>
      <c r="AR41" s="204">
        <f t="shared" si="42"/>
        <v>24</v>
      </c>
      <c r="AS41" s="205">
        <f t="shared" si="43"/>
        <v>3462722.8829747806</v>
      </c>
      <c r="AT41" s="205">
        <f t="shared" si="26"/>
        <v>-18117.071455543857</v>
      </c>
      <c r="AU41" s="205">
        <f t="shared" si="27"/>
        <v>-12985.210811155426</v>
      </c>
      <c r="AV41" s="205">
        <f t="shared" si="44"/>
        <v>-5131.860644388431</v>
      </c>
      <c r="AW41" s="205">
        <f t="shared" si="45"/>
        <v>3457591.0223303922</v>
      </c>
      <c r="AX41" s="199"/>
    </row>
    <row r="42" spans="1:50" ht="12.75" customHeight="1">
      <c r="A42" s="73"/>
      <c r="B42" s="571">
        <f>+C42</f>
        <v>3</v>
      </c>
      <c r="C42" s="16">
        <f t="shared" ref="C42" si="67">+C41+1</f>
        <v>3</v>
      </c>
      <c r="D42" s="17">
        <v>1</v>
      </c>
      <c r="E42" s="18">
        <f t="shared" ca="1" si="47"/>
        <v>45139</v>
      </c>
      <c r="F42" s="10">
        <f>+VLOOKUP($C42,Dashboard!$S$4:$T$13,2,0)</f>
        <v>0.04</v>
      </c>
      <c r="G42" s="14">
        <f t="shared" si="28"/>
        <v>25</v>
      </c>
      <c r="H42" s="5">
        <f t="shared" si="29"/>
        <v>3615231.7422025208</v>
      </c>
      <c r="I42" s="5">
        <f t="shared" si="16"/>
        <v>-17903.073579954729</v>
      </c>
      <c r="J42" s="5">
        <f t="shared" si="17"/>
        <v>-12050.772474008403</v>
      </c>
      <c r="K42" s="5">
        <f t="shared" si="30"/>
        <v>-5852.3011059463261</v>
      </c>
      <c r="L42" s="5">
        <f t="shared" si="31"/>
        <v>3609379.4410965745</v>
      </c>
      <c r="M42" s="199"/>
      <c r="N42" s="16">
        <f t="shared" ca="1" si="32"/>
        <v>0</v>
      </c>
      <c r="O42" s="508">
        <f t="shared" ca="1" si="18"/>
        <v>0</v>
      </c>
      <c r="P42" s="16">
        <f t="shared" ca="1" si="19"/>
        <v>0</v>
      </c>
      <c r="Q42" s="17">
        <v>1</v>
      </c>
      <c r="R42" s="18">
        <f t="shared" si="49"/>
        <v>40544</v>
      </c>
      <c r="S42" s="10">
        <f t="shared" si="33"/>
        <v>0.04</v>
      </c>
      <c r="T42" s="14" t="str">
        <f t="shared" ca="1" si="34"/>
        <v>I/O</v>
      </c>
      <c r="U42" s="5">
        <f t="shared" ca="1" si="35"/>
        <v>500000</v>
      </c>
      <c r="V42" s="5">
        <f t="shared" ca="1" si="20"/>
        <v>-1666.6666666666667</v>
      </c>
      <c r="W42" s="5">
        <f t="shared" ca="1" si="21"/>
        <v>-1666.6666666666667</v>
      </c>
      <c r="X42" s="5">
        <f t="shared" ca="1" si="36"/>
        <v>0</v>
      </c>
      <c r="Y42" s="5">
        <f t="shared" ca="1" si="37"/>
        <v>500000</v>
      </c>
      <c r="Z42" s="199"/>
      <c r="AA42" s="16">
        <f t="shared" ca="1" si="25"/>
        <v>2</v>
      </c>
      <c r="AB42" s="508">
        <f t="shared" ca="1" si="22"/>
        <v>24</v>
      </c>
      <c r="AC42" s="16">
        <f t="shared" ref="AC42" si="68">+AC41+1</f>
        <v>3</v>
      </c>
      <c r="AD42" s="17">
        <v>1</v>
      </c>
      <c r="AE42" s="18">
        <f t="shared" ca="1" si="51"/>
        <v>45139</v>
      </c>
      <c r="AF42" s="10">
        <f>IF(Dashboard!$R$24="Float",AF41+Dashboard!$R$24/12,AF41)</f>
        <v>0.06</v>
      </c>
      <c r="AG42" s="14">
        <f t="shared" si="38"/>
        <v>25</v>
      </c>
      <c r="AH42" s="5">
        <f t="shared" si="39"/>
        <v>0</v>
      </c>
      <c r="AI42" s="5">
        <f t="shared" si="23"/>
        <v>0</v>
      </c>
      <c r="AJ42" s="5">
        <f t="shared" si="24"/>
        <v>0</v>
      </c>
      <c r="AK42" s="5">
        <f t="shared" si="40"/>
        <v>0</v>
      </c>
      <c r="AL42" s="5">
        <f t="shared" si="41"/>
        <v>0</v>
      </c>
      <c r="AM42" s="199"/>
      <c r="AN42" s="16">
        <f t="shared" ref="AN42" si="69">+AN41+1</f>
        <v>4</v>
      </c>
      <c r="AO42" s="17">
        <v>1</v>
      </c>
      <c r="AP42" s="18">
        <f t="shared" ca="1" si="53"/>
        <v>45139</v>
      </c>
      <c r="AQ42" s="10">
        <f>IF(Dashboard!$S$20="Float",AQ41+Dashboard!$T$20/12,AQ41)</f>
        <v>4.4999999999999998E-2</v>
      </c>
      <c r="AR42" s="14">
        <f t="shared" si="42"/>
        <v>25</v>
      </c>
      <c r="AS42" s="5">
        <f t="shared" si="43"/>
        <v>3457591.0223303922</v>
      </c>
      <c r="AT42" s="5">
        <f t="shared" si="26"/>
        <v>-18117.071455543857</v>
      </c>
      <c r="AU42" s="5">
        <f t="shared" si="27"/>
        <v>-12965.96633373897</v>
      </c>
      <c r="AV42" s="5">
        <f t="shared" si="44"/>
        <v>-5151.1051218048869</v>
      </c>
      <c r="AW42" s="5">
        <f t="shared" si="45"/>
        <v>3452439.9172085873</v>
      </c>
      <c r="AX42" s="199"/>
    </row>
    <row r="43" spans="1:50">
      <c r="A43" s="73"/>
      <c r="B43" s="571"/>
      <c r="C43" s="16">
        <f>+C42</f>
        <v>3</v>
      </c>
      <c r="D43" s="17">
        <f>+D42+1</f>
        <v>2</v>
      </c>
      <c r="E43" s="18">
        <f t="shared" ca="1" si="47"/>
        <v>45170</v>
      </c>
      <c r="F43" s="10">
        <f>+VLOOKUP($C43,Dashboard!$S$4:$T$13,2,0)</f>
        <v>0.04</v>
      </c>
      <c r="G43" s="14">
        <f t="shared" si="28"/>
        <v>26</v>
      </c>
      <c r="H43" s="5">
        <f t="shared" si="29"/>
        <v>3609379.4410965745</v>
      </c>
      <c r="I43" s="5">
        <f t="shared" si="16"/>
        <v>-17903.073579954729</v>
      </c>
      <c r="J43" s="5">
        <f t="shared" si="17"/>
        <v>-12031.264803655249</v>
      </c>
      <c r="K43" s="5">
        <f t="shared" si="30"/>
        <v>-5871.8087762994801</v>
      </c>
      <c r="L43" s="5">
        <f t="shared" si="31"/>
        <v>3603507.6323202751</v>
      </c>
      <c r="M43" s="199"/>
      <c r="N43" s="16">
        <f t="shared" ca="1" si="32"/>
        <v>0</v>
      </c>
      <c r="O43" s="508">
        <f t="shared" ca="1" si="18"/>
        <v>0</v>
      </c>
      <c r="P43" s="16">
        <f t="shared" ca="1" si="19"/>
        <v>0</v>
      </c>
      <c r="Q43" s="17">
        <f>+Q42+1</f>
        <v>2</v>
      </c>
      <c r="R43" s="18">
        <f t="shared" si="49"/>
        <v>40575</v>
      </c>
      <c r="S43" s="10">
        <f t="shared" si="33"/>
        <v>0.04</v>
      </c>
      <c r="T43" s="14" t="str">
        <f t="shared" ca="1" si="34"/>
        <v>I/O</v>
      </c>
      <c r="U43" s="5">
        <f t="shared" ca="1" si="35"/>
        <v>500000</v>
      </c>
      <c r="V43" s="5">
        <f t="shared" ca="1" si="20"/>
        <v>-1666.6666666666667</v>
      </c>
      <c r="W43" s="5">
        <f t="shared" ca="1" si="21"/>
        <v>-1666.6666666666667</v>
      </c>
      <c r="X43" s="5">
        <f t="shared" ca="1" si="36"/>
        <v>0</v>
      </c>
      <c r="Y43" s="5">
        <f t="shared" ca="1" si="37"/>
        <v>500000</v>
      </c>
      <c r="Z43" s="199"/>
      <c r="AA43" s="16">
        <f t="shared" ca="1" si="25"/>
        <v>3</v>
      </c>
      <c r="AB43" s="508">
        <f t="shared" ca="1" si="22"/>
        <v>25</v>
      </c>
      <c r="AC43" s="16">
        <f>+AC42</f>
        <v>3</v>
      </c>
      <c r="AD43" s="17">
        <f>+AD42+1</f>
        <v>2</v>
      </c>
      <c r="AE43" s="18">
        <f t="shared" ca="1" si="51"/>
        <v>45170</v>
      </c>
      <c r="AF43" s="10">
        <f>IF(Dashboard!$R$24="Float",AF42+Dashboard!$R$24/12,AF42)</f>
        <v>0.06</v>
      </c>
      <c r="AG43" s="14">
        <f t="shared" si="38"/>
        <v>26</v>
      </c>
      <c r="AH43" s="5">
        <f t="shared" si="39"/>
        <v>0</v>
      </c>
      <c r="AI43" s="5">
        <f t="shared" si="23"/>
        <v>0</v>
      </c>
      <c r="AJ43" s="5">
        <f t="shared" si="24"/>
        <v>0</v>
      </c>
      <c r="AK43" s="5">
        <f t="shared" si="40"/>
        <v>0</v>
      </c>
      <c r="AL43" s="5">
        <f t="shared" si="41"/>
        <v>0</v>
      </c>
      <c r="AM43" s="199"/>
      <c r="AN43" s="16">
        <f>+AN42</f>
        <v>4</v>
      </c>
      <c r="AO43" s="17">
        <f>+AO42+1</f>
        <v>2</v>
      </c>
      <c r="AP43" s="18">
        <f t="shared" ca="1" si="53"/>
        <v>45170</v>
      </c>
      <c r="AQ43" s="10">
        <f>IF(Dashboard!$S$20="Float",AQ42+Dashboard!$T$20/12,AQ42)</f>
        <v>4.4999999999999998E-2</v>
      </c>
      <c r="AR43" s="14">
        <f t="shared" si="42"/>
        <v>26</v>
      </c>
      <c r="AS43" s="5">
        <f t="shared" si="43"/>
        <v>3452439.9172085873</v>
      </c>
      <c r="AT43" s="5">
        <f t="shared" si="26"/>
        <v>-18117.071455543857</v>
      </c>
      <c r="AU43" s="5">
        <f t="shared" si="27"/>
        <v>-12946.649689532203</v>
      </c>
      <c r="AV43" s="5">
        <f t="shared" si="44"/>
        <v>-5170.4217660116537</v>
      </c>
      <c r="AW43" s="5">
        <f t="shared" si="45"/>
        <v>3447269.4954425758</v>
      </c>
      <c r="AX43" s="199"/>
    </row>
    <row r="44" spans="1:50">
      <c r="A44" s="73"/>
      <c r="B44" s="571"/>
      <c r="C44" s="16">
        <f>+C43</f>
        <v>3</v>
      </c>
      <c r="D44" s="17">
        <f>+D43+1</f>
        <v>3</v>
      </c>
      <c r="E44" s="18">
        <f t="shared" ca="1" si="47"/>
        <v>45200</v>
      </c>
      <c r="F44" s="10">
        <f>+VLOOKUP($C44,Dashboard!$S$4:$T$13,2,0)</f>
        <v>0.04</v>
      </c>
      <c r="G44" s="14">
        <f t="shared" si="28"/>
        <v>27</v>
      </c>
      <c r="H44" s="5">
        <f t="shared" si="29"/>
        <v>3603507.6323202751</v>
      </c>
      <c r="I44" s="5">
        <f t="shared" si="16"/>
        <v>-17903.073579954729</v>
      </c>
      <c r="J44" s="5">
        <f t="shared" si="17"/>
        <v>-12011.69210773425</v>
      </c>
      <c r="K44" s="5">
        <f t="shared" si="30"/>
        <v>-5891.3814722204788</v>
      </c>
      <c r="L44" s="5">
        <f t="shared" si="31"/>
        <v>3597616.2508480544</v>
      </c>
      <c r="M44" s="199"/>
      <c r="N44" s="16">
        <f t="shared" ca="1" si="32"/>
        <v>0</v>
      </c>
      <c r="O44" s="508">
        <f t="shared" ca="1" si="18"/>
        <v>0</v>
      </c>
      <c r="P44" s="16">
        <f t="shared" ca="1" si="19"/>
        <v>0</v>
      </c>
      <c r="Q44" s="17">
        <f>+Q43+1</f>
        <v>3</v>
      </c>
      <c r="R44" s="18">
        <f t="shared" si="49"/>
        <v>40603</v>
      </c>
      <c r="S44" s="10">
        <f t="shared" si="33"/>
        <v>0.04</v>
      </c>
      <c r="T44" s="14" t="str">
        <f t="shared" ca="1" si="34"/>
        <v>I/O</v>
      </c>
      <c r="U44" s="5">
        <f t="shared" ca="1" si="35"/>
        <v>500000</v>
      </c>
      <c r="V44" s="5">
        <f t="shared" ca="1" si="20"/>
        <v>-1666.6666666666667</v>
      </c>
      <c r="W44" s="5">
        <f t="shared" ca="1" si="21"/>
        <v>-1666.6666666666667</v>
      </c>
      <c r="X44" s="5">
        <f t="shared" ca="1" si="36"/>
        <v>0</v>
      </c>
      <c r="Y44" s="5">
        <f t="shared" ca="1" si="37"/>
        <v>500000</v>
      </c>
      <c r="Z44" s="199"/>
      <c r="AA44" s="16">
        <f t="shared" ca="1" si="25"/>
        <v>3</v>
      </c>
      <c r="AB44" s="508">
        <f t="shared" ca="1" si="22"/>
        <v>26</v>
      </c>
      <c r="AC44" s="16">
        <f>+AC43</f>
        <v>3</v>
      </c>
      <c r="AD44" s="17">
        <f>+AD43+1</f>
        <v>3</v>
      </c>
      <c r="AE44" s="18">
        <f t="shared" ca="1" si="51"/>
        <v>45200</v>
      </c>
      <c r="AF44" s="10">
        <f>IF(Dashboard!$R$24="Float",AF43+Dashboard!$R$24/12,AF43)</f>
        <v>0.06</v>
      </c>
      <c r="AG44" s="14">
        <f t="shared" si="38"/>
        <v>27</v>
      </c>
      <c r="AH44" s="5">
        <f t="shared" si="39"/>
        <v>0</v>
      </c>
      <c r="AI44" s="5">
        <f t="shared" si="23"/>
        <v>0</v>
      </c>
      <c r="AJ44" s="5">
        <f t="shared" si="24"/>
        <v>0</v>
      </c>
      <c r="AK44" s="5">
        <f t="shared" si="40"/>
        <v>0</v>
      </c>
      <c r="AL44" s="5">
        <f t="shared" si="41"/>
        <v>0</v>
      </c>
      <c r="AM44" s="199"/>
      <c r="AN44" s="16">
        <f>+AN43</f>
        <v>4</v>
      </c>
      <c r="AO44" s="17">
        <f>+AO43+1</f>
        <v>3</v>
      </c>
      <c r="AP44" s="18">
        <f t="shared" ca="1" si="53"/>
        <v>45200</v>
      </c>
      <c r="AQ44" s="10">
        <f>IF(Dashboard!$S$20="Float",AQ43+Dashboard!$T$20/12,AQ43)</f>
        <v>4.4999999999999998E-2</v>
      </c>
      <c r="AR44" s="14">
        <f t="shared" si="42"/>
        <v>27</v>
      </c>
      <c r="AS44" s="5">
        <f t="shared" si="43"/>
        <v>3447269.4954425758</v>
      </c>
      <c r="AT44" s="5">
        <f t="shared" si="26"/>
        <v>-18117.071455543854</v>
      </c>
      <c r="AU44" s="5">
        <f t="shared" si="27"/>
        <v>-12927.260607909659</v>
      </c>
      <c r="AV44" s="5">
        <f t="shared" si="44"/>
        <v>-5189.8108476341949</v>
      </c>
      <c r="AW44" s="5">
        <f t="shared" si="45"/>
        <v>3442079.6845949418</v>
      </c>
      <c r="AX44" s="199"/>
    </row>
    <row r="45" spans="1:50">
      <c r="A45" s="73"/>
      <c r="B45" s="571"/>
      <c r="C45" s="16">
        <f>+C44</f>
        <v>3</v>
      </c>
      <c r="D45" s="17">
        <f t="shared" ref="D45:D53" si="70">+D44+1</f>
        <v>4</v>
      </c>
      <c r="E45" s="18">
        <f t="shared" ca="1" si="47"/>
        <v>45231</v>
      </c>
      <c r="F45" s="10">
        <f>+VLOOKUP($C45,Dashboard!$S$4:$T$13,2,0)</f>
        <v>0.04</v>
      </c>
      <c r="G45" s="14">
        <f t="shared" si="28"/>
        <v>28</v>
      </c>
      <c r="H45" s="5">
        <f t="shared" si="29"/>
        <v>3597616.2508480544</v>
      </c>
      <c r="I45" s="5">
        <f t="shared" si="16"/>
        <v>-17903.073579954729</v>
      </c>
      <c r="J45" s="5">
        <f t="shared" si="17"/>
        <v>-11992.054169493515</v>
      </c>
      <c r="K45" s="5">
        <f t="shared" si="30"/>
        <v>-5911.0194104612146</v>
      </c>
      <c r="L45" s="5">
        <f t="shared" si="31"/>
        <v>3591705.2314375932</v>
      </c>
      <c r="M45" s="199"/>
      <c r="N45" s="16">
        <f t="shared" ca="1" si="32"/>
        <v>0</v>
      </c>
      <c r="O45" s="508">
        <f t="shared" ca="1" si="18"/>
        <v>0</v>
      </c>
      <c r="P45" s="16">
        <f t="shared" ca="1" si="19"/>
        <v>0</v>
      </c>
      <c r="Q45" s="17">
        <f t="shared" ref="Q45:Q53" si="71">+Q44+1</f>
        <v>4</v>
      </c>
      <c r="R45" s="18">
        <f t="shared" si="49"/>
        <v>40634</v>
      </c>
      <c r="S45" s="10">
        <f t="shared" si="33"/>
        <v>0.04</v>
      </c>
      <c r="T45" s="14" t="str">
        <f t="shared" ca="1" si="34"/>
        <v>I/O</v>
      </c>
      <c r="U45" s="5">
        <f t="shared" ca="1" si="35"/>
        <v>500000</v>
      </c>
      <c r="V45" s="5">
        <f t="shared" ca="1" si="20"/>
        <v>-1666.6666666666667</v>
      </c>
      <c r="W45" s="5">
        <f t="shared" ca="1" si="21"/>
        <v>-1666.6666666666667</v>
      </c>
      <c r="X45" s="5">
        <f t="shared" ca="1" si="36"/>
        <v>0</v>
      </c>
      <c r="Y45" s="5">
        <f t="shared" ca="1" si="37"/>
        <v>500000</v>
      </c>
      <c r="Z45" s="199"/>
      <c r="AA45" s="16">
        <f t="shared" ca="1" si="25"/>
        <v>3</v>
      </c>
      <c r="AB45" s="508">
        <f t="shared" ca="1" si="22"/>
        <v>27</v>
      </c>
      <c r="AC45" s="16">
        <f>+AC44</f>
        <v>3</v>
      </c>
      <c r="AD45" s="17">
        <f t="shared" ref="AD45:AD53" si="72">+AD44+1</f>
        <v>4</v>
      </c>
      <c r="AE45" s="18">
        <f t="shared" ca="1" si="51"/>
        <v>45231</v>
      </c>
      <c r="AF45" s="10">
        <f>IF(Dashboard!$R$24="Float",AF44+Dashboard!$R$24/12,AF44)</f>
        <v>0.06</v>
      </c>
      <c r="AG45" s="14">
        <f t="shared" si="38"/>
        <v>28</v>
      </c>
      <c r="AH45" s="5">
        <f t="shared" si="39"/>
        <v>0</v>
      </c>
      <c r="AI45" s="5">
        <f t="shared" si="23"/>
        <v>0</v>
      </c>
      <c r="AJ45" s="5">
        <f t="shared" si="24"/>
        <v>0</v>
      </c>
      <c r="AK45" s="5">
        <f t="shared" si="40"/>
        <v>0</v>
      </c>
      <c r="AL45" s="5">
        <f t="shared" si="41"/>
        <v>0</v>
      </c>
      <c r="AM45" s="199"/>
      <c r="AN45" s="16">
        <f>+AN44</f>
        <v>4</v>
      </c>
      <c r="AO45" s="17">
        <f t="shared" ref="AO45:AO53" si="73">+AO44+1</f>
        <v>4</v>
      </c>
      <c r="AP45" s="18">
        <f t="shared" ca="1" si="53"/>
        <v>45231</v>
      </c>
      <c r="AQ45" s="10">
        <f>IF(Dashboard!$S$20="Float",AQ44+Dashboard!$T$20/12,AQ44)</f>
        <v>4.4999999999999998E-2</v>
      </c>
      <c r="AR45" s="14">
        <f t="shared" si="42"/>
        <v>28</v>
      </c>
      <c r="AS45" s="5">
        <f t="shared" si="43"/>
        <v>3442079.6845949418</v>
      </c>
      <c r="AT45" s="5">
        <f t="shared" si="26"/>
        <v>-18117.071455543857</v>
      </c>
      <c r="AU45" s="5">
        <f t="shared" si="27"/>
        <v>-12907.798817231031</v>
      </c>
      <c r="AV45" s="5">
        <f t="shared" si="44"/>
        <v>-5209.2726383128265</v>
      </c>
      <c r="AW45" s="5">
        <f t="shared" si="45"/>
        <v>3436870.4119566288</v>
      </c>
      <c r="AX45" s="199"/>
    </row>
    <row r="46" spans="1:50">
      <c r="A46" s="73"/>
      <c r="B46" s="571"/>
      <c r="C46" s="16">
        <f t="shared" ref="C46:C53" si="74">+C45</f>
        <v>3</v>
      </c>
      <c r="D46" s="17">
        <f t="shared" si="70"/>
        <v>5</v>
      </c>
      <c r="E46" s="18">
        <f t="shared" ca="1" si="47"/>
        <v>45261</v>
      </c>
      <c r="F46" s="10">
        <f>+VLOOKUP($C46,Dashboard!$S$4:$T$13,2,0)</f>
        <v>0.04</v>
      </c>
      <c r="G46" s="14">
        <f t="shared" si="28"/>
        <v>29</v>
      </c>
      <c r="H46" s="5">
        <f t="shared" si="29"/>
        <v>3591705.2314375932</v>
      </c>
      <c r="I46" s="5">
        <f t="shared" si="16"/>
        <v>-17903.073579954726</v>
      </c>
      <c r="J46" s="5">
        <f t="shared" si="17"/>
        <v>-11972.350771458645</v>
      </c>
      <c r="K46" s="5">
        <f t="shared" si="30"/>
        <v>-5930.7228084960807</v>
      </c>
      <c r="L46" s="5">
        <f t="shared" si="31"/>
        <v>3585774.5086290971</v>
      </c>
      <c r="M46" s="199"/>
      <c r="N46" s="16">
        <f t="shared" ca="1" si="32"/>
        <v>0</v>
      </c>
      <c r="O46" s="508">
        <f t="shared" ca="1" si="18"/>
        <v>0</v>
      </c>
      <c r="P46" s="16">
        <f t="shared" ca="1" si="19"/>
        <v>0</v>
      </c>
      <c r="Q46" s="17">
        <f t="shared" si="71"/>
        <v>5</v>
      </c>
      <c r="R46" s="18">
        <f t="shared" si="49"/>
        <v>40664</v>
      </c>
      <c r="S46" s="10">
        <f t="shared" si="33"/>
        <v>0.04</v>
      </c>
      <c r="T46" s="14" t="str">
        <f t="shared" ca="1" si="34"/>
        <v>I/O</v>
      </c>
      <c r="U46" s="5">
        <f t="shared" ca="1" si="35"/>
        <v>500000</v>
      </c>
      <c r="V46" s="5">
        <f t="shared" ca="1" si="20"/>
        <v>-1666.6666666666667</v>
      </c>
      <c r="W46" s="5">
        <f t="shared" ca="1" si="21"/>
        <v>-1666.6666666666667</v>
      </c>
      <c r="X46" s="5">
        <f t="shared" ca="1" si="36"/>
        <v>0</v>
      </c>
      <c r="Y46" s="5">
        <f t="shared" ca="1" si="37"/>
        <v>500000</v>
      </c>
      <c r="Z46" s="199"/>
      <c r="AA46" s="16">
        <f t="shared" ca="1" si="25"/>
        <v>3</v>
      </c>
      <c r="AB46" s="508">
        <f t="shared" ca="1" si="22"/>
        <v>28</v>
      </c>
      <c r="AC46" s="16">
        <f t="shared" ref="AC46:AC53" si="75">+AC45</f>
        <v>3</v>
      </c>
      <c r="AD46" s="17">
        <f t="shared" si="72"/>
        <v>5</v>
      </c>
      <c r="AE46" s="18">
        <f t="shared" ca="1" si="51"/>
        <v>45261</v>
      </c>
      <c r="AF46" s="10">
        <f>IF(Dashboard!$R$24="Float",AF45+Dashboard!$R$24/12,AF45)</f>
        <v>0.06</v>
      </c>
      <c r="AG46" s="14">
        <f t="shared" si="38"/>
        <v>29</v>
      </c>
      <c r="AH46" s="5">
        <f t="shared" si="39"/>
        <v>0</v>
      </c>
      <c r="AI46" s="5">
        <f t="shared" si="23"/>
        <v>0</v>
      </c>
      <c r="AJ46" s="5">
        <f t="shared" si="24"/>
        <v>0</v>
      </c>
      <c r="AK46" s="5">
        <f t="shared" si="40"/>
        <v>0</v>
      </c>
      <c r="AL46" s="5">
        <f t="shared" si="41"/>
        <v>0</v>
      </c>
      <c r="AM46" s="199"/>
      <c r="AN46" s="16">
        <f t="shared" ref="AN46:AN53" si="76">+AN45</f>
        <v>4</v>
      </c>
      <c r="AO46" s="17">
        <f t="shared" si="73"/>
        <v>5</v>
      </c>
      <c r="AP46" s="18">
        <f t="shared" ca="1" si="53"/>
        <v>45261</v>
      </c>
      <c r="AQ46" s="10">
        <f>IF(Dashboard!$S$20="Float",AQ45+Dashboard!$T$20/12,AQ45)</f>
        <v>4.4999999999999998E-2</v>
      </c>
      <c r="AR46" s="14">
        <f t="shared" si="42"/>
        <v>29</v>
      </c>
      <c r="AS46" s="5">
        <f t="shared" si="43"/>
        <v>3436870.4119566288</v>
      </c>
      <c r="AT46" s="5">
        <f t="shared" si="26"/>
        <v>-18117.071455543857</v>
      </c>
      <c r="AU46" s="5">
        <f t="shared" si="27"/>
        <v>-12888.264044837357</v>
      </c>
      <c r="AV46" s="5">
        <f t="shared" si="44"/>
        <v>-5228.8074107065004</v>
      </c>
      <c r="AW46" s="5">
        <f t="shared" si="45"/>
        <v>3431641.6045459225</v>
      </c>
      <c r="AX46" s="199"/>
    </row>
    <row r="47" spans="1:50">
      <c r="A47" s="73"/>
      <c r="B47" s="571"/>
      <c r="C47" s="16">
        <f t="shared" si="74"/>
        <v>3</v>
      </c>
      <c r="D47" s="17">
        <f t="shared" si="70"/>
        <v>6</v>
      </c>
      <c r="E47" s="18">
        <f t="shared" ca="1" si="47"/>
        <v>45292</v>
      </c>
      <c r="F47" s="10">
        <f>+VLOOKUP($C47,Dashboard!$S$4:$T$13,2,0)</f>
        <v>0.04</v>
      </c>
      <c r="G47" s="14">
        <f t="shared" si="28"/>
        <v>30</v>
      </c>
      <c r="H47" s="5">
        <f t="shared" si="29"/>
        <v>3585774.5086290971</v>
      </c>
      <c r="I47" s="5">
        <f t="shared" si="16"/>
        <v>-17903.073579954729</v>
      </c>
      <c r="J47" s="5">
        <f t="shared" si="17"/>
        <v>-11952.581695430325</v>
      </c>
      <c r="K47" s="5">
        <f t="shared" si="30"/>
        <v>-5950.4918845244047</v>
      </c>
      <c r="L47" s="5">
        <f t="shared" si="31"/>
        <v>3579824.0167445727</v>
      </c>
      <c r="M47" s="199"/>
      <c r="N47" s="16">
        <f t="shared" ca="1" si="32"/>
        <v>0</v>
      </c>
      <c r="O47" s="508">
        <f t="shared" ca="1" si="18"/>
        <v>0</v>
      </c>
      <c r="P47" s="16">
        <f t="shared" ca="1" si="19"/>
        <v>0</v>
      </c>
      <c r="Q47" s="17">
        <f t="shared" si="71"/>
        <v>6</v>
      </c>
      <c r="R47" s="18">
        <f t="shared" si="49"/>
        <v>40695</v>
      </c>
      <c r="S47" s="10">
        <f t="shared" si="33"/>
        <v>0.04</v>
      </c>
      <c r="T47" s="14" t="str">
        <f t="shared" ca="1" si="34"/>
        <v>I/O</v>
      </c>
      <c r="U47" s="5">
        <f t="shared" ca="1" si="35"/>
        <v>500000</v>
      </c>
      <c r="V47" s="5">
        <f t="shared" ca="1" si="20"/>
        <v>-1666.6666666666667</v>
      </c>
      <c r="W47" s="5">
        <f t="shared" ca="1" si="21"/>
        <v>-1666.6666666666667</v>
      </c>
      <c r="X47" s="5">
        <f t="shared" ca="1" si="36"/>
        <v>0</v>
      </c>
      <c r="Y47" s="5">
        <f t="shared" ca="1" si="37"/>
        <v>500000</v>
      </c>
      <c r="Z47" s="199"/>
      <c r="AA47" s="16">
        <f t="shared" ca="1" si="25"/>
        <v>3</v>
      </c>
      <c r="AB47" s="508">
        <f t="shared" ca="1" si="22"/>
        <v>29</v>
      </c>
      <c r="AC47" s="16">
        <f t="shared" si="75"/>
        <v>3</v>
      </c>
      <c r="AD47" s="17">
        <f t="shared" si="72"/>
        <v>6</v>
      </c>
      <c r="AE47" s="18">
        <f t="shared" ca="1" si="51"/>
        <v>45292</v>
      </c>
      <c r="AF47" s="10">
        <f>IF(Dashboard!$R$24="Float",AF46+Dashboard!$R$24/12,AF46)</f>
        <v>0.06</v>
      </c>
      <c r="AG47" s="14">
        <f t="shared" si="38"/>
        <v>30</v>
      </c>
      <c r="AH47" s="5">
        <f t="shared" si="39"/>
        <v>0</v>
      </c>
      <c r="AI47" s="5">
        <f t="shared" si="23"/>
        <v>0</v>
      </c>
      <c r="AJ47" s="5">
        <f t="shared" si="24"/>
        <v>0</v>
      </c>
      <c r="AK47" s="5">
        <f t="shared" si="40"/>
        <v>0</v>
      </c>
      <c r="AL47" s="5">
        <f t="shared" si="41"/>
        <v>0</v>
      </c>
      <c r="AM47" s="199"/>
      <c r="AN47" s="16">
        <f t="shared" si="76"/>
        <v>4</v>
      </c>
      <c r="AO47" s="17">
        <f t="shared" si="73"/>
        <v>6</v>
      </c>
      <c r="AP47" s="18">
        <f t="shared" ca="1" si="53"/>
        <v>45292</v>
      </c>
      <c r="AQ47" s="10">
        <f>IF(Dashboard!$S$20="Float",AQ46+Dashboard!$T$20/12,AQ46)</f>
        <v>4.4999999999999998E-2</v>
      </c>
      <c r="AR47" s="14">
        <f t="shared" si="42"/>
        <v>30</v>
      </c>
      <c r="AS47" s="5">
        <f t="shared" si="43"/>
        <v>3431641.6045459225</v>
      </c>
      <c r="AT47" s="5">
        <f t="shared" si="26"/>
        <v>-18117.071455543857</v>
      </c>
      <c r="AU47" s="5">
        <f t="shared" si="27"/>
        <v>-12868.656017047209</v>
      </c>
      <c r="AV47" s="5">
        <f t="shared" si="44"/>
        <v>-5248.4154384966478</v>
      </c>
      <c r="AW47" s="5">
        <f t="shared" si="45"/>
        <v>3426393.189107426</v>
      </c>
      <c r="AX47" s="199"/>
    </row>
    <row r="48" spans="1:50">
      <c r="A48" s="73"/>
      <c r="B48" s="571"/>
      <c r="C48" s="16">
        <f t="shared" si="74"/>
        <v>3</v>
      </c>
      <c r="D48" s="17">
        <f t="shared" si="70"/>
        <v>7</v>
      </c>
      <c r="E48" s="18">
        <f t="shared" ca="1" si="47"/>
        <v>45323</v>
      </c>
      <c r="F48" s="10">
        <f>+VLOOKUP($C48,Dashboard!$S$4:$T$13,2,0)</f>
        <v>0.04</v>
      </c>
      <c r="G48" s="14">
        <f t="shared" si="28"/>
        <v>31</v>
      </c>
      <c r="H48" s="5">
        <f t="shared" si="29"/>
        <v>3579824.0167445727</v>
      </c>
      <c r="I48" s="5">
        <f t="shared" si="16"/>
        <v>-17903.073579954729</v>
      </c>
      <c r="J48" s="5">
        <f t="shared" si="17"/>
        <v>-11932.74672248191</v>
      </c>
      <c r="K48" s="5">
        <f t="shared" si="30"/>
        <v>-5970.326857472819</v>
      </c>
      <c r="L48" s="5">
        <f t="shared" si="31"/>
        <v>3573853.6898870999</v>
      </c>
      <c r="M48" s="199"/>
      <c r="N48" s="16">
        <f t="shared" ca="1" si="32"/>
        <v>0</v>
      </c>
      <c r="O48" s="508">
        <f t="shared" ca="1" si="18"/>
        <v>0</v>
      </c>
      <c r="P48" s="16">
        <f t="shared" ca="1" si="19"/>
        <v>0</v>
      </c>
      <c r="Q48" s="17">
        <f t="shared" si="71"/>
        <v>7</v>
      </c>
      <c r="R48" s="18">
        <f t="shared" si="49"/>
        <v>40725</v>
      </c>
      <c r="S48" s="10">
        <f t="shared" si="33"/>
        <v>0.04</v>
      </c>
      <c r="T48" s="14" t="str">
        <f t="shared" ca="1" si="34"/>
        <v>I/O</v>
      </c>
      <c r="U48" s="5">
        <f t="shared" ca="1" si="35"/>
        <v>500000</v>
      </c>
      <c r="V48" s="5">
        <f t="shared" ca="1" si="20"/>
        <v>-1666.6666666666667</v>
      </c>
      <c r="W48" s="5">
        <f t="shared" ca="1" si="21"/>
        <v>-1666.6666666666667</v>
      </c>
      <c r="X48" s="5">
        <f t="shared" ca="1" si="36"/>
        <v>0</v>
      </c>
      <c r="Y48" s="5">
        <f t="shared" ca="1" si="37"/>
        <v>500000</v>
      </c>
      <c r="Z48" s="199"/>
      <c r="AA48" s="16">
        <f t="shared" ca="1" si="25"/>
        <v>3</v>
      </c>
      <c r="AB48" s="508">
        <f t="shared" ca="1" si="22"/>
        <v>30</v>
      </c>
      <c r="AC48" s="16">
        <f t="shared" si="75"/>
        <v>3</v>
      </c>
      <c r="AD48" s="17">
        <f t="shared" si="72"/>
        <v>7</v>
      </c>
      <c r="AE48" s="18">
        <f t="shared" ca="1" si="51"/>
        <v>45323</v>
      </c>
      <c r="AF48" s="10">
        <f>IF(Dashboard!$R$24="Float",AF47+Dashboard!$R$24/12,AF47)</f>
        <v>0.06</v>
      </c>
      <c r="AG48" s="14">
        <f t="shared" si="38"/>
        <v>31</v>
      </c>
      <c r="AH48" s="5">
        <f t="shared" si="39"/>
        <v>0</v>
      </c>
      <c r="AI48" s="5">
        <f t="shared" si="23"/>
        <v>0</v>
      </c>
      <c r="AJ48" s="5">
        <f t="shared" si="24"/>
        <v>0</v>
      </c>
      <c r="AK48" s="5">
        <f t="shared" si="40"/>
        <v>0</v>
      </c>
      <c r="AL48" s="5">
        <f t="shared" si="41"/>
        <v>0</v>
      </c>
      <c r="AM48" s="199"/>
      <c r="AN48" s="16">
        <f t="shared" si="76"/>
        <v>4</v>
      </c>
      <c r="AO48" s="17">
        <f t="shared" si="73"/>
        <v>7</v>
      </c>
      <c r="AP48" s="18">
        <f t="shared" ca="1" si="53"/>
        <v>45323</v>
      </c>
      <c r="AQ48" s="10">
        <f>IF(Dashboard!$S$20="Float",AQ47+Dashboard!$T$20/12,AQ47)</f>
        <v>4.4999999999999998E-2</v>
      </c>
      <c r="AR48" s="14">
        <f t="shared" si="42"/>
        <v>31</v>
      </c>
      <c r="AS48" s="5">
        <f t="shared" si="43"/>
        <v>3426393.189107426</v>
      </c>
      <c r="AT48" s="5">
        <f t="shared" si="26"/>
        <v>-18117.071455543857</v>
      </c>
      <c r="AU48" s="5">
        <f t="shared" si="27"/>
        <v>-12848.974459152845</v>
      </c>
      <c r="AV48" s="5">
        <f t="shared" si="44"/>
        <v>-5268.096996391012</v>
      </c>
      <c r="AW48" s="5">
        <f t="shared" si="45"/>
        <v>3421125.0921110348</v>
      </c>
      <c r="AX48" s="199"/>
    </row>
    <row r="49" spans="1:50">
      <c r="A49" s="73"/>
      <c r="B49" s="571"/>
      <c r="C49" s="16">
        <f t="shared" si="74"/>
        <v>3</v>
      </c>
      <c r="D49" s="17">
        <f t="shared" si="70"/>
        <v>8</v>
      </c>
      <c r="E49" s="18">
        <f t="shared" ca="1" si="47"/>
        <v>45352</v>
      </c>
      <c r="F49" s="10">
        <f>+VLOOKUP($C49,Dashboard!$S$4:$T$13,2,0)</f>
        <v>0.04</v>
      </c>
      <c r="G49" s="14">
        <f t="shared" si="28"/>
        <v>32</v>
      </c>
      <c r="H49" s="5">
        <f t="shared" si="29"/>
        <v>3573853.6898870999</v>
      </c>
      <c r="I49" s="5">
        <f t="shared" si="16"/>
        <v>-17903.073579954729</v>
      </c>
      <c r="J49" s="5">
        <f t="shared" si="17"/>
        <v>-11912.845632957002</v>
      </c>
      <c r="K49" s="5">
        <f t="shared" si="30"/>
        <v>-5990.2279469977275</v>
      </c>
      <c r="L49" s="5">
        <f t="shared" si="31"/>
        <v>3567863.4619401023</v>
      </c>
      <c r="M49" s="199"/>
      <c r="N49" s="16">
        <f t="shared" ca="1" si="32"/>
        <v>0</v>
      </c>
      <c r="O49" s="508">
        <f t="shared" ca="1" si="18"/>
        <v>0</v>
      </c>
      <c r="P49" s="16">
        <f t="shared" ca="1" si="19"/>
        <v>0</v>
      </c>
      <c r="Q49" s="17">
        <f t="shared" si="71"/>
        <v>8</v>
      </c>
      <c r="R49" s="18">
        <f t="shared" si="49"/>
        <v>40756</v>
      </c>
      <c r="S49" s="10">
        <f t="shared" si="33"/>
        <v>0.04</v>
      </c>
      <c r="T49" s="14" t="str">
        <f t="shared" ca="1" si="34"/>
        <v>I/O</v>
      </c>
      <c r="U49" s="5">
        <f t="shared" ca="1" si="35"/>
        <v>500000</v>
      </c>
      <c r="V49" s="5">
        <f t="shared" ca="1" si="20"/>
        <v>-1666.6666666666667</v>
      </c>
      <c r="W49" s="5">
        <f t="shared" ca="1" si="21"/>
        <v>-1666.6666666666667</v>
      </c>
      <c r="X49" s="5">
        <f t="shared" ca="1" si="36"/>
        <v>0</v>
      </c>
      <c r="Y49" s="5">
        <f t="shared" ca="1" si="37"/>
        <v>500000</v>
      </c>
      <c r="Z49" s="199"/>
      <c r="AA49" s="16">
        <f t="shared" ca="1" si="25"/>
        <v>3</v>
      </c>
      <c r="AB49" s="508">
        <f t="shared" ca="1" si="22"/>
        <v>31</v>
      </c>
      <c r="AC49" s="16">
        <f t="shared" si="75"/>
        <v>3</v>
      </c>
      <c r="AD49" s="17">
        <f t="shared" si="72"/>
        <v>8</v>
      </c>
      <c r="AE49" s="18">
        <f t="shared" ca="1" si="51"/>
        <v>45352</v>
      </c>
      <c r="AF49" s="10">
        <f>IF(Dashboard!$R$24="Float",AF48+Dashboard!$R$24/12,AF48)</f>
        <v>0.06</v>
      </c>
      <c r="AG49" s="14">
        <f t="shared" si="38"/>
        <v>32</v>
      </c>
      <c r="AH49" s="5">
        <f t="shared" si="39"/>
        <v>0</v>
      </c>
      <c r="AI49" s="5">
        <f t="shared" si="23"/>
        <v>0</v>
      </c>
      <c r="AJ49" s="5">
        <f t="shared" si="24"/>
        <v>0</v>
      </c>
      <c r="AK49" s="5">
        <f t="shared" si="40"/>
        <v>0</v>
      </c>
      <c r="AL49" s="5">
        <f t="shared" si="41"/>
        <v>0</v>
      </c>
      <c r="AM49" s="199"/>
      <c r="AN49" s="16">
        <f t="shared" si="76"/>
        <v>4</v>
      </c>
      <c r="AO49" s="17">
        <f t="shared" si="73"/>
        <v>8</v>
      </c>
      <c r="AP49" s="18">
        <f t="shared" ca="1" si="53"/>
        <v>45352</v>
      </c>
      <c r="AQ49" s="10">
        <f>IF(Dashboard!$S$20="Float",AQ48+Dashboard!$T$20/12,AQ48)</f>
        <v>4.4999999999999998E-2</v>
      </c>
      <c r="AR49" s="14">
        <f t="shared" si="42"/>
        <v>32</v>
      </c>
      <c r="AS49" s="5">
        <f t="shared" si="43"/>
        <v>3421125.0921110348</v>
      </c>
      <c r="AT49" s="5">
        <f t="shared" si="26"/>
        <v>-18117.071455543857</v>
      </c>
      <c r="AU49" s="5">
        <f t="shared" si="27"/>
        <v>-12829.21909541638</v>
      </c>
      <c r="AV49" s="5">
        <f t="shared" si="44"/>
        <v>-5287.8523601274774</v>
      </c>
      <c r="AW49" s="5">
        <f t="shared" si="45"/>
        <v>3415837.2397509073</v>
      </c>
      <c r="AX49" s="199"/>
    </row>
    <row r="50" spans="1:50">
      <c r="A50" s="73"/>
      <c r="B50" s="571"/>
      <c r="C50" s="16">
        <f t="shared" si="74"/>
        <v>3</v>
      </c>
      <c r="D50" s="17">
        <f t="shared" si="70"/>
        <v>9</v>
      </c>
      <c r="E50" s="18">
        <f t="shared" ca="1" si="47"/>
        <v>45383</v>
      </c>
      <c r="F50" s="10">
        <f>+VLOOKUP($C50,Dashboard!$S$4:$T$13,2,0)</f>
        <v>0.04</v>
      </c>
      <c r="G50" s="14">
        <f t="shared" si="28"/>
        <v>33</v>
      </c>
      <c r="H50" s="5">
        <f t="shared" si="29"/>
        <v>3567863.4619401023</v>
      </c>
      <c r="I50" s="5">
        <f t="shared" si="16"/>
        <v>-17903.073579954729</v>
      </c>
      <c r="J50" s="5">
        <f t="shared" si="17"/>
        <v>-11892.878206467009</v>
      </c>
      <c r="K50" s="5">
        <f t="shared" si="30"/>
        <v>-6010.1953734877206</v>
      </c>
      <c r="L50" s="5">
        <f t="shared" si="31"/>
        <v>3561853.2665666146</v>
      </c>
      <c r="M50" s="199"/>
      <c r="N50" s="16">
        <f t="shared" ca="1" si="32"/>
        <v>0</v>
      </c>
      <c r="O50" s="508">
        <f t="shared" ca="1" si="18"/>
        <v>0</v>
      </c>
      <c r="P50" s="16">
        <f t="shared" ca="1" si="19"/>
        <v>0</v>
      </c>
      <c r="Q50" s="17">
        <f t="shared" si="71"/>
        <v>9</v>
      </c>
      <c r="R50" s="18">
        <f t="shared" si="49"/>
        <v>40787</v>
      </c>
      <c r="S50" s="10">
        <f t="shared" si="33"/>
        <v>0.04</v>
      </c>
      <c r="T50" s="14" t="str">
        <f t="shared" ca="1" si="34"/>
        <v>I/O</v>
      </c>
      <c r="U50" s="5">
        <f t="shared" ca="1" si="35"/>
        <v>500000</v>
      </c>
      <c r="V50" s="5">
        <f t="shared" ca="1" si="20"/>
        <v>-1666.6666666666667</v>
      </c>
      <c r="W50" s="5">
        <f t="shared" ca="1" si="21"/>
        <v>-1666.6666666666667</v>
      </c>
      <c r="X50" s="5">
        <f t="shared" ca="1" si="36"/>
        <v>0</v>
      </c>
      <c r="Y50" s="5">
        <f t="shared" ca="1" si="37"/>
        <v>500000</v>
      </c>
      <c r="Z50" s="199"/>
      <c r="AA50" s="16">
        <f t="shared" ca="1" si="25"/>
        <v>3</v>
      </c>
      <c r="AB50" s="508">
        <f t="shared" ca="1" si="22"/>
        <v>32</v>
      </c>
      <c r="AC50" s="16">
        <f t="shared" si="75"/>
        <v>3</v>
      </c>
      <c r="AD50" s="17">
        <f t="shared" si="72"/>
        <v>9</v>
      </c>
      <c r="AE50" s="18">
        <f t="shared" ca="1" si="51"/>
        <v>45383</v>
      </c>
      <c r="AF50" s="10">
        <f>IF(Dashboard!$R$24="Float",AF49+Dashboard!$R$24/12,AF49)</f>
        <v>0.06</v>
      </c>
      <c r="AG50" s="14">
        <f t="shared" si="38"/>
        <v>33</v>
      </c>
      <c r="AH50" s="5">
        <f t="shared" si="39"/>
        <v>0</v>
      </c>
      <c r="AI50" s="5">
        <f t="shared" si="23"/>
        <v>0</v>
      </c>
      <c r="AJ50" s="5">
        <f t="shared" si="24"/>
        <v>0</v>
      </c>
      <c r="AK50" s="5">
        <f t="shared" si="40"/>
        <v>0</v>
      </c>
      <c r="AL50" s="5">
        <f t="shared" si="41"/>
        <v>0</v>
      </c>
      <c r="AM50" s="199"/>
      <c r="AN50" s="16">
        <f t="shared" si="76"/>
        <v>4</v>
      </c>
      <c r="AO50" s="17">
        <f t="shared" si="73"/>
        <v>9</v>
      </c>
      <c r="AP50" s="18">
        <f t="shared" ca="1" si="53"/>
        <v>45383</v>
      </c>
      <c r="AQ50" s="10">
        <f>IF(Dashboard!$S$20="Float",AQ49+Dashboard!$T$20/12,AQ49)</f>
        <v>4.4999999999999998E-2</v>
      </c>
      <c r="AR50" s="14">
        <f t="shared" si="42"/>
        <v>33</v>
      </c>
      <c r="AS50" s="5">
        <f t="shared" si="43"/>
        <v>3415837.2397509073</v>
      </c>
      <c r="AT50" s="5">
        <f t="shared" si="26"/>
        <v>-18117.071455543857</v>
      </c>
      <c r="AU50" s="5">
        <f t="shared" si="27"/>
        <v>-12809.389649065903</v>
      </c>
      <c r="AV50" s="5">
        <f t="shared" si="44"/>
        <v>-5307.6818064779545</v>
      </c>
      <c r="AW50" s="5">
        <f t="shared" si="45"/>
        <v>3410529.5579444291</v>
      </c>
      <c r="AX50" s="199"/>
    </row>
    <row r="51" spans="1:50">
      <c r="A51" s="73"/>
      <c r="B51" s="571"/>
      <c r="C51" s="16">
        <f t="shared" si="74"/>
        <v>3</v>
      </c>
      <c r="D51" s="17">
        <f t="shared" si="70"/>
        <v>10</v>
      </c>
      <c r="E51" s="18">
        <f t="shared" ca="1" si="47"/>
        <v>45413</v>
      </c>
      <c r="F51" s="10">
        <f>+VLOOKUP($C51,Dashboard!$S$4:$T$13,2,0)</f>
        <v>0.04</v>
      </c>
      <c r="G51" s="14">
        <f t="shared" si="28"/>
        <v>34</v>
      </c>
      <c r="H51" s="5">
        <f t="shared" si="29"/>
        <v>3561853.2665666146</v>
      </c>
      <c r="I51" s="5">
        <f t="shared" si="16"/>
        <v>-17903.073579954729</v>
      </c>
      <c r="J51" s="5">
        <f t="shared" si="17"/>
        <v>-11872.844221888716</v>
      </c>
      <c r="K51" s="5">
        <f t="shared" si="30"/>
        <v>-6030.2293580660134</v>
      </c>
      <c r="L51" s="5">
        <f t="shared" si="31"/>
        <v>3555823.0372085487</v>
      </c>
      <c r="M51" s="199"/>
      <c r="N51" s="16">
        <f t="shared" ca="1" si="32"/>
        <v>0</v>
      </c>
      <c r="O51" s="508">
        <f t="shared" ca="1" si="18"/>
        <v>0</v>
      </c>
      <c r="P51" s="16">
        <f t="shared" ca="1" si="19"/>
        <v>0</v>
      </c>
      <c r="Q51" s="17">
        <f t="shared" si="71"/>
        <v>10</v>
      </c>
      <c r="R51" s="18">
        <f t="shared" si="49"/>
        <v>40817</v>
      </c>
      <c r="S51" s="10">
        <f t="shared" si="33"/>
        <v>0.04</v>
      </c>
      <c r="T51" s="14" t="str">
        <f t="shared" ca="1" si="34"/>
        <v>I/O</v>
      </c>
      <c r="U51" s="5">
        <f t="shared" ca="1" si="35"/>
        <v>500000</v>
      </c>
      <c r="V51" s="5">
        <f t="shared" ca="1" si="20"/>
        <v>-1666.6666666666667</v>
      </c>
      <c r="W51" s="5">
        <f t="shared" ca="1" si="21"/>
        <v>-1666.6666666666667</v>
      </c>
      <c r="X51" s="5">
        <f t="shared" ca="1" si="36"/>
        <v>0</v>
      </c>
      <c r="Y51" s="5">
        <f t="shared" ca="1" si="37"/>
        <v>500000</v>
      </c>
      <c r="Z51" s="199"/>
      <c r="AA51" s="16">
        <f t="shared" ca="1" si="25"/>
        <v>3</v>
      </c>
      <c r="AB51" s="508">
        <f t="shared" ca="1" si="22"/>
        <v>33</v>
      </c>
      <c r="AC51" s="16">
        <f t="shared" si="75"/>
        <v>3</v>
      </c>
      <c r="AD51" s="17">
        <f t="shared" si="72"/>
        <v>10</v>
      </c>
      <c r="AE51" s="18">
        <f t="shared" ca="1" si="51"/>
        <v>45413</v>
      </c>
      <c r="AF51" s="10">
        <f>IF(Dashboard!$R$24="Float",AF50+Dashboard!$R$24/12,AF50)</f>
        <v>0.06</v>
      </c>
      <c r="AG51" s="14">
        <f t="shared" si="38"/>
        <v>34</v>
      </c>
      <c r="AH51" s="5">
        <f t="shared" si="39"/>
        <v>0</v>
      </c>
      <c r="AI51" s="5">
        <f t="shared" si="23"/>
        <v>0</v>
      </c>
      <c r="AJ51" s="5">
        <f t="shared" si="24"/>
        <v>0</v>
      </c>
      <c r="AK51" s="5">
        <f t="shared" si="40"/>
        <v>0</v>
      </c>
      <c r="AL51" s="5">
        <f t="shared" si="41"/>
        <v>0</v>
      </c>
      <c r="AM51" s="199"/>
      <c r="AN51" s="16">
        <f t="shared" si="76"/>
        <v>4</v>
      </c>
      <c r="AO51" s="17">
        <f t="shared" si="73"/>
        <v>10</v>
      </c>
      <c r="AP51" s="18">
        <f t="shared" ca="1" si="53"/>
        <v>45413</v>
      </c>
      <c r="AQ51" s="10">
        <f>IF(Dashboard!$S$20="Float",AQ50+Dashboard!$T$20/12,AQ50)</f>
        <v>4.4999999999999998E-2</v>
      </c>
      <c r="AR51" s="14">
        <f t="shared" si="42"/>
        <v>34</v>
      </c>
      <c r="AS51" s="5">
        <f t="shared" si="43"/>
        <v>3410529.5579444291</v>
      </c>
      <c r="AT51" s="5">
        <f t="shared" si="26"/>
        <v>-18117.071455543854</v>
      </c>
      <c r="AU51" s="5">
        <f t="shared" si="27"/>
        <v>-12789.485842291608</v>
      </c>
      <c r="AV51" s="5">
        <f t="shared" si="44"/>
        <v>-5327.5856132522458</v>
      </c>
      <c r="AW51" s="5">
        <f t="shared" si="45"/>
        <v>3405201.972331177</v>
      </c>
      <c r="AX51" s="199"/>
    </row>
    <row r="52" spans="1:50">
      <c r="A52" s="73"/>
      <c r="B52" s="571"/>
      <c r="C52" s="16">
        <f t="shared" si="74"/>
        <v>3</v>
      </c>
      <c r="D52" s="17">
        <f t="shared" si="70"/>
        <v>11</v>
      </c>
      <c r="E52" s="18">
        <f t="shared" ca="1" si="47"/>
        <v>45444</v>
      </c>
      <c r="F52" s="10">
        <f>+VLOOKUP($C52,Dashboard!$S$4:$T$13,2,0)</f>
        <v>0.04</v>
      </c>
      <c r="G52" s="14">
        <f t="shared" si="28"/>
        <v>35</v>
      </c>
      <c r="H52" s="5">
        <f t="shared" si="29"/>
        <v>3555823.0372085487</v>
      </c>
      <c r="I52" s="5">
        <f t="shared" si="16"/>
        <v>-17903.073579954729</v>
      </c>
      <c r="J52" s="5">
        <f t="shared" si="17"/>
        <v>-11852.74345736183</v>
      </c>
      <c r="K52" s="5">
        <f t="shared" si="30"/>
        <v>-6050.330122592899</v>
      </c>
      <c r="L52" s="5">
        <f t="shared" si="31"/>
        <v>3549772.7070859559</v>
      </c>
      <c r="M52" s="199"/>
      <c r="N52" s="16">
        <f t="shared" ca="1" si="32"/>
        <v>0</v>
      </c>
      <c r="O52" s="508">
        <f t="shared" ca="1" si="18"/>
        <v>0</v>
      </c>
      <c r="P52" s="16">
        <f t="shared" ca="1" si="19"/>
        <v>0</v>
      </c>
      <c r="Q52" s="17">
        <f t="shared" si="71"/>
        <v>11</v>
      </c>
      <c r="R52" s="18">
        <f t="shared" si="49"/>
        <v>40848</v>
      </c>
      <c r="S52" s="10">
        <f t="shared" si="33"/>
        <v>0.04</v>
      </c>
      <c r="T52" s="14" t="str">
        <f t="shared" ca="1" si="34"/>
        <v>I/O</v>
      </c>
      <c r="U52" s="5">
        <f t="shared" ca="1" si="35"/>
        <v>500000</v>
      </c>
      <c r="V52" s="5">
        <f t="shared" ca="1" si="20"/>
        <v>-1666.6666666666667</v>
      </c>
      <c r="W52" s="5">
        <f t="shared" ca="1" si="21"/>
        <v>-1666.6666666666667</v>
      </c>
      <c r="X52" s="5">
        <f t="shared" ca="1" si="36"/>
        <v>0</v>
      </c>
      <c r="Y52" s="5">
        <f t="shared" ca="1" si="37"/>
        <v>500000</v>
      </c>
      <c r="Z52" s="199"/>
      <c r="AA52" s="16">
        <f t="shared" ca="1" si="25"/>
        <v>3</v>
      </c>
      <c r="AB52" s="508">
        <f t="shared" ca="1" si="22"/>
        <v>34</v>
      </c>
      <c r="AC52" s="16">
        <f t="shared" si="75"/>
        <v>3</v>
      </c>
      <c r="AD52" s="17">
        <f t="shared" si="72"/>
        <v>11</v>
      </c>
      <c r="AE52" s="18">
        <f t="shared" ca="1" si="51"/>
        <v>45444</v>
      </c>
      <c r="AF52" s="10">
        <f>IF(Dashboard!$R$24="Float",AF51+Dashboard!$R$24/12,AF51)</f>
        <v>0.06</v>
      </c>
      <c r="AG52" s="14">
        <f t="shared" si="38"/>
        <v>35</v>
      </c>
      <c r="AH52" s="5">
        <f t="shared" si="39"/>
        <v>0</v>
      </c>
      <c r="AI52" s="5">
        <f t="shared" si="23"/>
        <v>0</v>
      </c>
      <c r="AJ52" s="5">
        <f t="shared" si="24"/>
        <v>0</v>
      </c>
      <c r="AK52" s="5">
        <f t="shared" si="40"/>
        <v>0</v>
      </c>
      <c r="AL52" s="5">
        <f t="shared" si="41"/>
        <v>0</v>
      </c>
      <c r="AM52" s="199"/>
      <c r="AN52" s="16">
        <f t="shared" si="76"/>
        <v>4</v>
      </c>
      <c r="AO52" s="17">
        <f t="shared" si="73"/>
        <v>11</v>
      </c>
      <c r="AP52" s="18">
        <f t="shared" ca="1" si="53"/>
        <v>45444</v>
      </c>
      <c r="AQ52" s="10">
        <f>IF(Dashboard!$S$20="Float",AQ51+Dashboard!$T$20/12,AQ51)</f>
        <v>4.4999999999999998E-2</v>
      </c>
      <c r="AR52" s="14">
        <f t="shared" si="42"/>
        <v>35</v>
      </c>
      <c r="AS52" s="5">
        <f t="shared" si="43"/>
        <v>3405201.972331177</v>
      </c>
      <c r="AT52" s="5">
        <f t="shared" si="26"/>
        <v>-18117.071455543857</v>
      </c>
      <c r="AU52" s="5">
        <f t="shared" si="27"/>
        <v>-12769.507396241914</v>
      </c>
      <c r="AV52" s="5">
        <f t="shared" si="44"/>
        <v>-5347.5640593019434</v>
      </c>
      <c r="AW52" s="5">
        <f t="shared" si="45"/>
        <v>3399854.4082718752</v>
      </c>
      <c r="AX52" s="199"/>
    </row>
    <row r="53" spans="1:50">
      <c r="A53" s="73"/>
      <c r="B53" s="571"/>
      <c r="C53" s="16">
        <f t="shared" si="74"/>
        <v>3</v>
      </c>
      <c r="D53" s="17">
        <f t="shared" si="70"/>
        <v>12</v>
      </c>
      <c r="E53" s="18">
        <f t="shared" ca="1" si="47"/>
        <v>45474</v>
      </c>
      <c r="F53" s="10">
        <f>+VLOOKUP($C53,Dashboard!$S$4:$T$13,2,0)</f>
        <v>0.04</v>
      </c>
      <c r="G53" s="14">
        <f t="shared" si="28"/>
        <v>36</v>
      </c>
      <c r="H53" s="5">
        <f t="shared" si="29"/>
        <v>3549772.7070859559</v>
      </c>
      <c r="I53" s="5">
        <f t="shared" si="16"/>
        <v>-17903.073579954733</v>
      </c>
      <c r="J53" s="5">
        <f t="shared" si="17"/>
        <v>-11832.57569028652</v>
      </c>
      <c r="K53" s="5">
        <f t="shared" si="30"/>
        <v>-6070.4978896682132</v>
      </c>
      <c r="L53" s="5">
        <f t="shared" si="31"/>
        <v>3543702.2091962877</v>
      </c>
      <c r="M53" s="199"/>
      <c r="N53" s="16">
        <f t="shared" ca="1" si="32"/>
        <v>0</v>
      </c>
      <c r="O53" s="508">
        <f t="shared" ca="1" si="18"/>
        <v>0</v>
      </c>
      <c r="P53" s="16">
        <f t="shared" ca="1" si="19"/>
        <v>0</v>
      </c>
      <c r="Q53" s="17">
        <f t="shared" si="71"/>
        <v>12</v>
      </c>
      <c r="R53" s="18">
        <f t="shared" si="49"/>
        <v>40878</v>
      </c>
      <c r="S53" s="10">
        <f t="shared" si="33"/>
        <v>0.04</v>
      </c>
      <c r="T53" s="14" t="str">
        <f t="shared" ca="1" si="34"/>
        <v>I/O</v>
      </c>
      <c r="U53" s="5">
        <f t="shared" ca="1" si="35"/>
        <v>500000</v>
      </c>
      <c r="V53" s="5">
        <f t="shared" ca="1" si="20"/>
        <v>-1666.6666666666667</v>
      </c>
      <c r="W53" s="5">
        <f t="shared" ca="1" si="21"/>
        <v>-1666.6666666666667</v>
      </c>
      <c r="X53" s="5">
        <f t="shared" ca="1" si="36"/>
        <v>0</v>
      </c>
      <c r="Y53" s="5">
        <f t="shared" ca="1" si="37"/>
        <v>500000</v>
      </c>
      <c r="Z53" s="199"/>
      <c r="AA53" s="16">
        <f t="shared" ca="1" si="25"/>
        <v>3</v>
      </c>
      <c r="AB53" s="508">
        <f t="shared" ca="1" si="22"/>
        <v>35</v>
      </c>
      <c r="AC53" s="16">
        <f t="shared" si="75"/>
        <v>3</v>
      </c>
      <c r="AD53" s="17">
        <f t="shared" si="72"/>
        <v>12</v>
      </c>
      <c r="AE53" s="18">
        <f t="shared" ca="1" si="51"/>
        <v>45474</v>
      </c>
      <c r="AF53" s="10">
        <f>IF(Dashboard!$R$24="Float",AF52+Dashboard!$R$24/12,AF52)</f>
        <v>0.06</v>
      </c>
      <c r="AG53" s="14">
        <f t="shared" si="38"/>
        <v>36</v>
      </c>
      <c r="AH53" s="5">
        <f t="shared" si="39"/>
        <v>0</v>
      </c>
      <c r="AI53" s="5">
        <f t="shared" si="23"/>
        <v>0</v>
      </c>
      <c r="AJ53" s="5">
        <f t="shared" si="24"/>
        <v>0</v>
      </c>
      <c r="AK53" s="5">
        <f t="shared" si="40"/>
        <v>0</v>
      </c>
      <c r="AL53" s="5">
        <f t="shared" si="41"/>
        <v>0</v>
      </c>
      <c r="AM53" s="199"/>
      <c r="AN53" s="16">
        <f t="shared" si="76"/>
        <v>4</v>
      </c>
      <c r="AO53" s="17">
        <f t="shared" si="73"/>
        <v>12</v>
      </c>
      <c r="AP53" s="18">
        <f t="shared" ca="1" si="53"/>
        <v>45474</v>
      </c>
      <c r="AQ53" s="10">
        <f>IF(Dashboard!$S$20="Float",AQ52+Dashboard!$T$20/12,AQ52)</f>
        <v>4.4999999999999998E-2</v>
      </c>
      <c r="AR53" s="14">
        <f t="shared" si="42"/>
        <v>36</v>
      </c>
      <c r="AS53" s="5">
        <f t="shared" si="43"/>
        <v>3399854.4082718752</v>
      </c>
      <c r="AT53" s="5">
        <f t="shared" si="26"/>
        <v>-18117.071455543857</v>
      </c>
      <c r="AU53" s="5">
        <f t="shared" si="27"/>
        <v>-12749.454031019532</v>
      </c>
      <c r="AV53" s="5">
        <f t="shared" si="44"/>
        <v>-5367.6174245243255</v>
      </c>
      <c r="AW53" s="5">
        <f t="shared" si="45"/>
        <v>3394486.7908473508</v>
      </c>
      <c r="AX53" s="199"/>
    </row>
    <row r="54" spans="1:50" ht="12.75" customHeight="1">
      <c r="A54" s="73"/>
      <c r="B54" s="570">
        <f>+C54</f>
        <v>4</v>
      </c>
      <c r="C54" s="200">
        <f t="shared" ref="C54" si="77">+C53+1</f>
        <v>4</v>
      </c>
      <c r="D54" s="201">
        <v>1</v>
      </c>
      <c r="E54" s="202">
        <f t="shared" ca="1" si="47"/>
        <v>45505</v>
      </c>
      <c r="F54" s="203">
        <f>+VLOOKUP($C54,Dashboard!$S$4:$T$13,2,0)</f>
        <v>0.04</v>
      </c>
      <c r="G54" s="204">
        <f t="shared" si="28"/>
        <v>37</v>
      </c>
      <c r="H54" s="205">
        <f t="shared" si="29"/>
        <v>3543702.2091962877</v>
      </c>
      <c r="I54" s="205">
        <f t="shared" si="16"/>
        <v>-17903.073579954733</v>
      </c>
      <c r="J54" s="205">
        <f t="shared" si="17"/>
        <v>-11812.340697320958</v>
      </c>
      <c r="K54" s="205">
        <f t="shared" si="30"/>
        <v>-6090.7328826337744</v>
      </c>
      <c r="L54" s="205">
        <f t="shared" si="31"/>
        <v>3537611.4763136539</v>
      </c>
      <c r="M54" s="199"/>
      <c r="N54" s="200">
        <f t="shared" ca="1" si="32"/>
        <v>0</v>
      </c>
      <c r="O54" s="509">
        <f t="shared" ca="1" si="18"/>
        <v>0</v>
      </c>
      <c r="P54" s="200">
        <f t="shared" ca="1" si="19"/>
        <v>0</v>
      </c>
      <c r="Q54" s="201">
        <v>1</v>
      </c>
      <c r="R54" s="202">
        <f t="shared" si="49"/>
        <v>40909</v>
      </c>
      <c r="S54" s="203">
        <f t="shared" si="33"/>
        <v>0.04</v>
      </c>
      <c r="T54" s="204" t="str">
        <f t="shared" ca="1" si="34"/>
        <v>I/O</v>
      </c>
      <c r="U54" s="205">
        <f t="shared" ca="1" si="35"/>
        <v>500000</v>
      </c>
      <c r="V54" s="205">
        <f t="shared" ca="1" si="20"/>
        <v>-1666.6666666666667</v>
      </c>
      <c r="W54" s="205">
        <f t="shared" ca="1" si="21"/>
        <v>-1666.6666666666667</v>
      </c>
      <c r="X54" s="205">
        <f t="shared" ca="1" si="36"/>
        <v>0</v>
      </c>
      <c r="Y54" s="205">
        <f t="shared" ca="1" si="37"/>
        <v>500000</v>
      </c>
      <c r="Z54" s="199"/>
      <c r="AA54" s="200">
        <f t="shared" ca="1" si="25"/>
        <v>3</v>
      </c>
      <c r="AB54" s="509">
        <f t="shared" ca="1" si="22"/>
        <v>36</v>
      </c>
      <c r="AC54" s="200">
        <f t="shared" ref="AC54" si="78">+AC53+1</f>
        <v>4</v>
      </c>
      <c r="AD54" s="201">
        <v>1</v>
      </c>
      <c r="AE54" s="202">
        <f t="shared" ca="1" si="51"/>
        <v>45505</v>
      </c>
      <c r="AF54" s="203">
        <f>IF(Dashboard!$R$24="Float",AF53+Dashboard!$R$24/12,AF53)</f>
        <v>0.06</v>
      </c>
      <c r="AG54" s="204">
        <f t="shared" si="38"/>
        <v>37</v>
      </c>
      <c r="AH54" s="205">
        <f t="shared" si="39"/>
        <v>0</v>
      </c>
      <c r="AI54" s="205">
        <f t="shared" si="23"/>
        <v>0</v>
      </c>
      <c r="AJ54" s="205">
        <f t="shared" si="24"/>
        <v>0</v>
      </c>
      <c r="AK54" s="205">
        <f t="shared" si="40"/>
        <v>0</v>
      </c>
      <c r="AL54" s="205">
        <f t="shared" si="41"/>
        <v>0</v>
      </c>
      <c r="AM54" s="199"/>
      <c r="AN54" s="200">
        <f t="shared" ref="AN54" si="79">+AN53+1</f>
        <v>5</v>
      </c>
      <c r="AO54" s="201">
        <v>1</v>
      </c>
      <c r="AP54" s="202">
        <f t="shared" ca="1" si="53"/>
        <v>45505</v>
      </c>
      <c r="AQ54" s="203">
        <f>IF(Dashboard!$S$20="Float",AQ53+Dashboard!$T$20/12,AQ53)</f>
        <v>4.4999999999999998E-2</v>
      </c>
      <c r="AR54" s="204">
        <f t="shared" si="42"/>
        <v>37</v>
      </c>
      <c r="AS54" s="205">
        <f t="shared" si="43"/>
        <v>3394486.7908473508</v>
      </c>
      <c r="AT54" s="205">
        <f t="shared" si="26"/>
        <v>-18117.071455543861</v>
      </c>
      <c r="AU54" s="205">
        <f t="shared" si="27"/>
        <v>-12729.325465677566</v>
      </c>
      <c r="AV54" s="205">
        <f t="shared" si="44"/>
        <v>-5387.7459898662946</v>
      </c>
      <c r="AW54" s="205">
        <f t="shared" si="45"/>
        <v>3389099.0448574848</v>
      </c>
      <c r="AX54" s="199"/>
    </row>
    <row r="55" spans="1:50">
      <c r="A55" s="73"/>
      <c r="B55" s="570"/>
      <c r="C55" s="200">
        <f>+C54</f>
        <v>4</v>
      </c>
      <c r="D55" s="201">
        <f>+D54+1</f>
        <v>2</v>
      </c>
      <c r="E55" s="202">
        <f t="shared" ca="1" si="47"/>
        <v>45536</v>
      </c>
      <c r="F55" s="203">
        <f>+VLOOKUP($C55,Dashboard!$S$4:$T$13,2,0)</f>
        <v>0.04</v>
      </c>
      <c r="G55" s="204">
        <f t="shared" si="28"/>
        <v>38</v>
      </c>
      <c r="H55" s="205">
        <f t="shared" si="29"/>
        <v>3537611.4763136539</v>
      </c>
      <c r="I55" s="205">
        <f t="shared" si="16"/>
        <v>-17903.073579954729</v>
      </c>
      <c r="J55" s="205">
        <f t="shared" si="17"/>
        <v>-11792.038254378846</v>
      </c>
      <c r="K55" s="205">
        <f t="shared" si="30"/>
        <v>-6111.0353255758837</v>
      </c>
      <c r="L55" s="205">
        <f t="shared" si="31"/>
        <v>3531500.4409880778</v>
      </c>
      <c r="M55" s="199"/>
      <c r="N55" s="200">
        <f t="shared" ca="1" si="32"/>
        <v>0</v>
      </c>
      <c r="O55" s="509">
        <f t="shared" ca="1" si="18"/>
        <v>0</v>
      </c>
      <c r="P55" s="200">
        <f t="shared" ca="1" si="19"/>
        <v>0</v>
      </c>
      <c r="Q55" s="201">
        <f>+Q54+1</f>
        <v>2</v>
      </c>
      <c r="R55" s="202">
        <f t="shared" si="49"/>
        <v>40940</v>
      </c>
      <c r="S55" s="203">
        <f t="shared" si="33"/>
        <v>0.04</v>
      </c>
      <c r="T55" s="204" t="str">
        <f t="shared" ca="1" si="34"/>
        <v>I/O</v>
      </c>
      <c r="U55" s="205">
        <f t="shared" ca="1" si="35"/>
        <v>500000</v>
      </c>
      <c r="V55" s="205">
        <f t="shared" ca="1" si="20"/>
        <v>-1666.6666666666667</v>
      </c>
      <c r="W55" s="205">
        <f t="shared" ca="1" si="21"/>
        <v>-1666.6666666666667</v>
      </c>
      <c r="X55" s="205">
        <f t="shared" ca="1" si="36"/>
        <v>0</v>
      </c>
      <c r="Y55" s="205">
        <f t="shared" ca="1" si="37"/>
        <v>500000</v>
      </c>
      <c r="Z55" s="199"/>
      <c r="AA55" s="200">
        <f t="shared" ca="1" si="25"/>
        <v>4</v>
      </c>
      <c r="AB55" s="509">
        <f t="shared" ca="1" si="22"/>
        <v>37</v>
      </c>
      <c r="AC55" s="200">
        <f>+AC54</f>
        <v>4</v>
      </c>
      <c r="AD55" s="201">
        <f>+AD54+1</f>
        <v>2</v>
      </c>
      <c r="AE55" s="202">
        <f t="shared" ca="1" si="51"/>
        <v>45536</v>
      </c>
      <c r="AF55" s="203">
        <f>IF(Dashboard!$R$24="Float",AF54+Dashboard!$R$24/12,AF54)</f>
        <v>0.06</v>
      </c>
      <c r="AG55" s="204">
        <f t="shared" si="38"/>
        <v>38</v>
      </c>
      <c r="AH55" s="205">
        <f t="shared" si="39"/>
        <v>0</v>
      </c>
      <c r="AI55" s="205">
        <f t="shared" si="23"/>
        <v>0</v>
      </c>
      <c r="AJ55" s="205">
        <f t="shared" si="24"/>
        <v>0</v>
      </c>
      <c r="AK55" s="205">
        <f t="shared" si="40"/>
        <v>0</v>
      </c>
      <c r="AL55" s="205">
        <f t="shared" si="41"/>
        <v>0</v>
      </c>
      <c r="AM55" s="199"/>
      <c r="AN55" s="200">
        <f>+AN54</f>
        <v>5</v>
      </c>
      <c r="AO55" s="201">
        <f>+AO54+1</f>
        <v>2</v>
      </c>
      <c r="AP55" s="202">
        <f t="shared" ca="1" si="53"/>
        <v>45536</v>
      </c>
      <c r="AQ55" s="203">
        <f>IF(Dashboard!$S$20="Float",AQ54+Dashboard!$T$20/12,AQ54)</f>
        <v>4.4999999999999998E-2</v>
      </c>
      <c r="AR55" s="204">
        <f t="shared" si="42"/>
        <v>38</v>
      </c>
      <c r="AS55" s="205">
        <f t="shared" si="43"/>
        <v>3389099.0448574848</v>
      </c>
      <c r="AT55" s="205">
        <f t="shared" si="26"/>
        <v>-18117.071455543861</v>
      </c>
      <c r="AU55" s="205">
        <f t="shared" si="27"/>
        <v>-12709.121418215567</v>
      </c>
      <c r="AV55" s="205">
        <f t="shared" si="44"/>
        <v>-5407.9500373282935</v>
      </c>
      <c r="AW55" s="205">
        <f t="shared" si="45"/>
        <v>3383691.0948201567</v>
      </c>
      <c r="AX55" s="199"/>
    </row>
    <row r="56" spans="1:50">
      <c r="A56" s="73"/>
      <c r="B56" s="570"/>
      <c r="C56" s="200">
        <f>+C55</f>
        <v>4</v>
      </c>
      <c r="D56" s="201">
        <f>+D55+1</f>
        <v>3</v>
      </c>
      <c r="E56" s="202">
        <f t="shared" ca="1" si="47"/>
        <v>45566</v>
      </c>
      <c r="F56" s="203">
        <f>+VLOOKUP($C56,Dashboard!$S$4:$T$13,2,0)</f>
        <v>0.04</v>
      </c>
      <c r="G56" s="204">
        <f t="shared" si="28"/>
        <v>39</v>
      </c>
      <c r="H56" s="205">
        <f t="shared" si="29"/>
        <v>3531500.4409880778</v>
      </c>
      <c r="I56" s="205">
        <f t="shared" si="16"/>
        <v>-17903.073579954729</v>
      </c>
      <c r="J56" s="205">
        <f t="shared" si="17"/>
        <v>-11771.668136626926</v>
      </c>
      <c r="K56" s="205">
        <f t="shared" si="30"/>
        <v>-6131.4054433278034</v>
      </c>
      <c r="L56" s="205">
        <f t="shared" si="31"/>
        <v>3525369.0355447498</v>
      </c>
      <c r="M56" s="199"/>
      <c r="N56" s="200">
        <f t="shared" ca="1" si="32"/>
        <v>0</v>
      </c>
      <c r="O56" s="509">
        <f t="shared" ca="1" si="18"/>
        <v>0</v>
      </c>
      <c r="P56" s="200">
        <f t="shared" ca="1" si="19"/>
        <v>0</v>
      </c>
      <c r="Q56" s="201">
        <f>+Q55+1</f>
        <v>3</v>
      </c>
      <c r="R56" s="202">
        <f t="shared" si="49"/>
        <v>40969</v>
      </c>
      <c r="S56" s="203">
        <f t="shared" si="33"/>
        <v>0.04</v>
      </c>
      <c r="T56" s="204" t="str">
        <f t="shared" ca="1" si="34"/>
        <v>I/O</v>
      </c>
      <c r="U56" s="205">
        <f t="shared" ca="1" si="35"/>
        <v>500000</v>
      </c>
      <c r="V56" s="205">
        <f t="shared" ca="1" si="20"/>
        <v>-1666.6666666666667</v>
      </c>
      <c r="W56" s="205">
        <f t="shared" ca="1" si="21"/>
        <v>-1666.6666666666667</v>
      </c>
      <c r="X56" s="205">
        <f t="shared" ca="1" si="36"/>
        <v>0</v>
      </c>
      <c r="Y56" s="205">
        <f t="shared" ca="1" si="37"/>
        <v>500000</v>
      </c>
      <c r="Z56" s="199"/>
      <c r="AA56" s="200">
        <f t="shared" ca="1" si="25"/>
        <v>4</v>
      </c>
      <c r="AB56" s="509">
        <f t="shared" ca="1" si="22"/>
        <v>38</v>
      </c>
      <c r="AC56" s="200">
        <f>+AC55</f>
        <v>4</v>
      </c>
      <c r="AD56" s="201">
        <f>+AD55+1</f>
        <v>3</v>
      </c>
      <c r="AE56" s="202">
        <f t="shared" ca="1" si="51"/>
        <v>45566</v>
      </c>
      <c r="AF56" s="203">
        <f>IF(Dashboard!$R$24="Float",AF55+Dashboard!$R$24/12,AF55)</f>
        <v>0.06</v>
      </c>
      <c r="AG56" s="204">
        <f t="shared" si="38"/>
        <v>39</v>
      </c>
      <c r="AH56" s="205">
        <f t="shared" si="39"/>
        <v>0</v>
      </c>
      <c r="AI56" s="205">
        <f t="shared" si="23"/>
        <v>0</v>
      </c>
      <c r="AJ56" s="205">
        <f t="shared" si="24"/>
        <v>0</v>
      </c>
      <c r="AK56" s="205">
        <f t="shared" si="40"/>
        <v>0</v>
      </c>
      <c r="AL56" s="205">
        <f t="shared" si="41"/>
        <v>0</v>
      </c>
      <c r="AM56" s="199"/>
      <c r="AN56" s="200">
        <f>+AN55</f>
        <v>5</v>
      </c>
      <c r="AO56" s="201">
        <f>+AO55+1</f>
        <v>3</v>
      </c>
      <c r="AP56" s="202">
        <f t="shared" ca="1" si="53"/>
        <v>45566</v>
      </c>
      <c r="AQ56" s="203">
        <f>IF(Dashboard!$S$20="Float",AQ55+Dashboard!$T$20/12,AQ55)</f>
        <v>4.4999999999999998E-2</v>
      </c>
      <c r="AR56" s="204">
        <f t="shared" si="42"/>
        <v>39</v>
      </c>
      <c r="AS56" s="205">
        <f t="shared" si="43"/>
        <v>3383691.0948201567</v>
      </c>
      <c r="AT56" s="205">
        <f t="shared" si="26"/>
        <v>-18117.071455543861</v>
      </c>
      <c r="AU56" s="205">
        <f t="shared" si="27"/>
        <v>-12688.841605575588</v>
      </c>
      <c r="AV56" s="205">
        <f t="shared" si="44"/>
        <v>-5428.2298499682729</v>
      </c>
      <c r="AW56" s="205">
        <f t="shared" si="45"/>
        <v>3378262.8649701886</v>
      </c>
      <c r="AX56" s="199"/>
    </row>
    <row r="57" spans="1:50">
      <c r="A57" s="73"/>
      <c r="B57" s="570"/>
      <c r="C57" s="200">
        <f>+C56</f>
        <v>4</v>
      </c>
      <c r="D57" s="201">
        <f t="shared" ref="D57:D65" si="80">+D56+1</f>
        <v>4</v>
      </c>
      <c r="E57" s="202">
        <f t="shared" ca="1" si="47"/>
        <v>45597</v>
      </c>
      <c r="F57" s="203">
        <f>+VLOOKUP($C57,Dashboard!$S$4:$T$13,2,0)</f>
        <v>0.04</v>
      </c>
      <c r="G57" s="204">
        <f t="shared" si="28"/>
        <v>40</v>
      </c>
      <c r="H57" s="205">
        <f t="shared" si="29"/>
        <v>3525369.0355447498</v>
      </c>
      <c r="I57" s="205">
        <f t="shared" si="16"/>
        <v>-17903.073579954729</v>
      </c>
      <c r="J57" s="205">
        <f t="shared" si="17"/>
        <v>-11751.230118482499</v>
      </c>
      <c r="K57" s="205">
        <f t="shared" si="30"/>
        <v>-6151.84346147223</v>
      </c>
      <c r="L57" s="205">
        <f t="shared" si="31"/>
        <v>3519217.1920832777</v>
      </c>
      <c r="M57" s="199"/>
      <c r="N57" s="200">
        <f t="shared" ca="1" si="32"/>
        <v>0</v>
      </c>
      <c r="O57" s="509">
        <f t="shared" ca="1" si="18"/>
        <v>0</v>
      </c>
      <c r="P57" s="200">
        <f t="shared" ca="1" si="19"/>
        <v>0</v>
      </c>
      <c r="Q57" s="201">
        <f t="shared" ref="Q57:Q65" si="81">+Q56+1</f>
        <v>4</v>
      </c>
      <c r="R57" s="202">
        <f t="shared" si="49"/>
        <v>41000</v>
      </c>
      <c r="S57" s="203">
        <f t="shared" si="33"/>
        <v>0.04</v>
      </c>
      <c r="T57" s="204" t="str">
        <f t="shared" ca="1" si="34"/>
        <v>I/O</v>
      </c>
      <c r="U57" s="205">
        <f t="shared" ca="1" si="35"/>
        <v>500000</v>
      </c>
      <c r="V57" s="205">
        <f t="shared" ca="1" si="20"/>
        <v>-1666.6666666666667</v>
      </c>
      <c r="W57" s="205">
        <f t="shared" ca="1" si="21"/>
        <v>-1666.6666666666667</v>
      </c>
      <c r="X57" s="205">
        <f t="shared" ca="1" si="36"/>
        <v>0</v>
      </c>
      <c r="Y57" s="205">
        <f t="shared" ca="1" si="37"/>
        <v>500000</v>
      </c>
      <c r="Z57" s="199"/>
      <c r="AA57" s="200">
        <f t="shared" ca="1" si="25"/>
        <v>4</v>
      </c>
      <c r="AB57" s="509">
        <f t="shared" ca="1" si="22"/>
        <v>39</v>
      </c>
      <c r="AC57" s="200">
        <f>+AC56</f>
        <v>4</v>
      </c>
      <c r="AD57" s="201">
        <f t="shared" ref="AD57:AD65" si="82">+AD56+1</f>
        <v>4</v>
      </c>
      <c r="AE57" s="202">
        <f t="shared" ca="1" si="51"/>
        <v>45597</v>
      </c>
      <c r="AF57" s="203">
        <f>IF(Dashboard!$R$24="Float",AF56+Dashboard!$R$24/12,AF56)</f>
        <v>0.06</v>
      </c>
      <c r="AG57" s="204">
        <f t="shared" si="38"/>
        <v>40</v>
      </c>
      <c r="AH57" s="205">
        <f t="shared" si="39"/>
        <v>0</v>
      </c>
      <c r="AI57" s="205">
        <f t="shared" si="23"/>
        <v>0</v>
      </c>
      <c r="AJ57" s="205">
        <f t="shared" si="24"/>
        <v>0</v>
      </c>
      <c r="AK57" s="205">
        <f t="shared" si="40"/>
        <v>0</v>
      </c>
      <c r="AL57" s="205">
        <f t="shared" si="41"/>
        <v>0</v>
      </c>
      <c r="AM57" s="199"/>
      <c r="AN57" s="200">
        <f>+AN56</f>
        <v>5</v>
      </c>
      <c r="AO57" s="201">
        <f t="shared" ref="AO57:AO65" si="83">+AO56+1</f>
        <v>4</v>
      </c>
      <c r="AP57" s="202">
        <f t="shared" ca="1" si="53"/>
        <v>45597</v>
      </c>
      <c r="AQ57" s="203">
        <f>IF(Dashboard!$S$20="Float",AQ56+Dashboard!$T$20/12,AQ56)</f>
        <v>4.4999999999999998E-2</v>
      </c>
      <c r="AR57" s="204">
        <f t="shared" si="42"/>
        <v>40</v>
      </c>
      <c r="AS57" s="205">
        <f t="shared" si="43"/>
        <v>3378262.8649701886</v>
      </c>
      <c r="AT57" s="205">
        <f t="shared" si="26"/>
        <v>-18117.071455543861</v>
      </c>
      <c r="AU57" s="205">
        <f t="shared" si="27"/>
        <v>-12668.485743638206</v>
      </c>
      <c r="AV57" s="205">
        <f t="shared" si="44"/>
        <v>-5448.5857119056545</v>
      </c>
      <c r="AW57" s="205">
        <f t="shared" si="45"/>
        <v>3372814.2792582829</v>
      </c>
      <c r="AX57" s="199"/>
    </row>
    <row r="58" spans="1:50">
      <c r="A58" s="73"/>
      <c r="B58" s="570"/>
      <c r="C58" s="200">
        <f t="shared" ref="C58:C65" si="84">+C57</f>
        <v>4</v>
      </c>
      <c r="D58" s="201">
        <f t="shared" si="80"/>
        <v>5</v>
      </c>
      <c r="E58" s="202">
        <f t="shared" ca="1" si="47"/>
        <v>45627</v>
      </c>
      <c r="F58" s="203">
        <f>+VLOOKUP($C58,Dashboard!$S$4:$T$13,2,0)</f>
        <v>0.04</v>
      </c>
      <c r="G58" s="204">
        <f t="shared" si="28"/>
        <v>41</v>
      </c>
      <c r="H58" s="205">
        <f t="shared" si="29"/>
        <v>3519217.1920832777</v>
      </c>
      <c r="I58" s="205">
        <f t="shared" si="16"/>
        <v>-17903.073579954729</v>
      </c>
      <c r="J58" s="205">
        <f t="shared" si="17"/>
        <v>-11730.723973610926</v>
      </c>
      <c r="K58" s="205">
        <f t="shared" si="30"/>
        <v>-6172.3496063438033</v>
      </c>
      <c r="L58" s="205">
        <f t="shared" si="31"/>
        <v>3513044.8424769337</v>
      </c>
      <c r="M58" s="199"/>
      <c r="N58" s="200">
        <f t="shared" ca="1" si="32"/>
        <v>0</v>
      </c>
      <c r="O58" s="509">
        <f t="shared" ca="1" si="18"/>
        <v>0</v>
      </c>
      <c r="P58" s="200">
        <f t="shared" ca="1" si="19"/>
        <v>0</v>
      </c>
      <c r="Q58" s="201">
        <f t="shared" si="81"/>
        <v>5</v>
      </c>
      <c r="R58" s="202">
        <f t="shared" si="49"/>
        <v>41030</v>
      </c>
      <c r="S58" s="203">
        <f t="shared" si="33"/>
        <v>0.04</v>
      </c>
      <c r="T58" s="204" t="str">
        <f t="shared" ca="1" si="34"/>
        <v>I/O</v>
      </c>
      <c r="U58" s="205">
        <f t="shared" ca="1" si="35"/>
        <v>500000</v>
      </c>
      <c r="V58" s="205">
        <f t="shared" ca="1" si="20"/>
        <v>-1666.6666666666667</v>
      </c>
      <c r="W58" s="205">
        <f t="shared" ca="1" si="21"/>
        <v>-1666.6666666666667</v>
      </c>
      <c r="X58" s="205">
        <f t="shared" ca="1" si="36"/>
        <v>0</v>
      </c>
      <c r="Y58" s="205">
        <f t="shared" ca="1" si="37"/>
        <v>500000</v>
      </c>
      <c r="Z58" s="199"/>
      <c r="AA58" s="200">
        <f t="shared" ca="1" si="25"/>
        <v>4</v>
      </c>
      <c r="AB58" s="509">
        <f t="shared" ca="1" si="22"/>
        <v>40</v>
      </c>
      <c r="AC58" s="200">
        <f t="shared" ref="AC58:AC65" si="85">+AC57</f>
        <v>4</v>
      </c>
      <c r="AD58" s="201">
        <f t="shared" si="82"/>
        <v>5</v>
      </c>
      <c r="AE58" s="202">
        <f t="shared" ca="1" si="51"/>
        <v>45627</v>
      </c>
      <c r="AF58" s="203">
        <f>IF(Dashboard!$R$24="Float",AF57+Dashboard!$R$24/12,AF57)</f>
        <v>0.06</v>
      </c>
      <c r="AG58" s="204">
        <f t="shared" si="38"/>
        <v>41</v>
      </c>
      <c r="AH58" s="205">
        <f t="shared" si="39"/>
        <v>0</v>
      </c>
      <c r="AI58" s="205">
        <f t="shared" si="23"/>
        <v>0</v>
      </c>
      <c r="AJ58" s="205">
        <f t="shared" si="24"/>
        <v>0</v>
      </c>
      <c r="AK58" s="205">
        <f t="shared" si="40"/>
        <v>0</v>
      </c>
      <c r="AL58" s="205">
        <f t="shared" si="41"/>
        <v>0</v>
      </c>
      <c r="AM58" s="199"/>
      <c r="AN58" s="200">
        <f t="shared" ref="AN58:AN65" si="86">+AN57</f>
        <v>5</v>
      </c>
      <c r="AO58" s="201">
        <f t="shared" si="83"/>
        <v>5</v>
      </c>
      <c r="AP58" s="202">
        <f t="shared" ca="1" si="53"/>
        <v>45627</v>
      </c>
      <c r="AQ58" s="203">
        <f>IF(Dashboard!$S$20="Float",AQ57+Dashboard!$T$20/12,AQ57)</f>
        <v>4.4999999999999998E-2</v>
      </c>
      <c r="AR58" s="204">
        <f t="shared" si="42"/>
        <v>41</v>
      </c>
      <c r="AS58" s="205">
        <f t="shared" si="43"/>
        <v>3372814.2792582829</v>
      </c>
      <c r="AT58" s="205">
        <f t="shared" si="26"/>
        <v>-18117.071455543857</v>
      </c>
      <c r="AU58" s="205">
        <f t="shared" si="27"/>
        <v>-12648.05354721856</v>
      </c>
      <c r="AV58" s="205">
        <f t="shared" si="44"/>
        <v>-5469.017908325297</v>
      </c>
      <c r="AW58" s="205">
        <f t="shared" si="45"/>
        <v>3367345.2613499574</v>
      </c>
      <c r="AX58" s="199"/>
    </row>
    <row r="59" spans="1:50">
      <c r="A59" s="73"/>
      <c r="B59" s="570"/>
      <c r="C59" s="200">
        <f t="shared" si="84"/>
        <v>4</v>
      </c>
      <c r="D59" s="201">
        <f t="shared" si="80"/>
        <v>6</v>
      </c>
      <c r="E59" s="202">
        <f t="shared" ca="1" si="47"/>
        <v>45658</v>
      </c>
      <c r="F59" s="203">
        <f>+VLOOKUP($C59,Dashboard!$S$4:$T$13,2,0)</f>
        <v>0.04</v>
      </c>
      <c r="G59" s="204">
        <f t="shared" si="28"/>
        <v>42</v>
      </c>
      <c r="H59" s="205">
        <f t="shared" si="29"/>
        <v>3513044.8424769337</v>
      </c>
      <c r="I59" s="205">
        <f t="shared" si="16"/>
        <v>-17903.073579954729</v>
      </c>
      <c r="J59" s="205">
        <f t="shared" si="17"/>
        <v>-11710.149474923113</v>
      </c>
      <c r="K59" s="205">
        <f t="shared" si="30"/>
        <v>-6192.9241050316159</v>
      </c>
      <c r="L59" s="205">
        <f t="shared" si="31"/>
        <v>3506851.9183719023</v>
      </c>
      <c r="M59" s="199"/>
      <c r="N59" s="200">
        <f t="shared" ca="1" si="32"/>
        <v>0</v>
      </c>
      <c r="O59" s="509">
        <f t="shared" ca="1" si="18"/>
        <v>0</v>
      </c>
      <c r="P59" s="200">
        <f t="shared" ca="1" si="19"/>
        <v>0</v>
      </c>
      <c r="Q59" s="201">
        <f t="shared" si="81"/>
        <v>6</v>
      </c>
      <c r="R59" s="202">
        <f t="shared" si="49"/>
        <v>41061</v>
      </c>
      <c r="S59" s="203">
        <f t="shared" si="33"/>
        <v>0.04</v>
      </c>
      <c r="T59" s="204" t="str">
        <f t="shared" ca="1" si="34"/>
        <v>I/O</v>
      </c>
      <c r="U59" s="205">
        <f t="shared" ca="1" si="35"/>
        <v>500000</v>
      </c>
      <c r="V59" s="205">
        <f t="shared" ca="1" si="20"/>
        <v>-1666.6666666666667</v>
      </c>
      <c r="W59" s="205">
        <f t="shared" ca="1" si="21"/>
        <v>-1666.6666666666667</v>
      </c>
      <c r="X59" s="205">
        <f t="shared" ca="1" si="36"/>
        <v>0</v>
      </c>
      <c r="Y59" s="205">
        <f t="shared" ca="1" si="37"/>
        <v>500000</v>
      </c>
      <c r="Z59" s="199"/>
      <c r="AA59" s="200">
        <f t="shared" ca="1" si="25"/>
        <v>4</v>
      </c>
      <c r="AB59" s="509">
        <f t="shared" ca="1" si="22"/>
        <v>41</v>
      </c>
      <c r="AC59" s="200">
        <f t="shared" si="85"/>
        <v>4</v>
      </c>
      <c r="AD59" s="201">
        <f t="shared" si="82"/>
        <v>6</v>
      </c>
      <c r="AE59" s="202">
        <f t="shared" ca="1" si="51"/>
        <v>45658</v>
      </c>
      <c r="AF59" s="203">
        <f>IF(Dashboard!$R$24="Float",AF58+Dashboard!$R$24/12,AF58)</f>
        <v>0.06</v>
      </c>
      <c r="AG59" s="204">
        <f t="shared" si="38"/>
        <v>42</v>
      </c>
      <c r="AH59" s="205">
        <f t="shared" si="39"/>
        <v>0</v>
      </c>
      <c r="AI59" s="205">
        <f t="shared" si="23"/>
        <v>0</v>
      </c>
      <c r="AJ59" s="205">
        <f t="shared" si="24"/>
        <v>0</v>
      </c>
      <c r="AK59" s="205">
        <f t="shared" si="40"/>
        <v>0</v>
      </c>
      <c r="AL59" s="205">
        <f t="shared" si="41"/>
        <v>0</v>
      </c>
      <c r="AM59" s="199"/>
      <c r="AN59" s="200">
        <f t="shared" si="86"/>
        <v>5</v>
      </c>
      <c r="AO59" s="201">
        <f t="shared" si="83"/>
        <v>6</v>
      </c>
      <c r="AP59" s="202">
        <f t="shared" ca="1" si="53"/>
        <v>45658</v>
      </c>
      <c r="AQ59" s="203">
        <f>IF(Dashboard!$S$20="Float",AQ58+Dashboard!$T$20/12,AQ58)</f>
        <v>4.4999999999999998E-2</v>
      </c>
      <c r="AR59" s="204">
        <f t="shared" si="42"/>
        <v>42</v>
      </c>
      <c r="AS59" s="205">
        <f t="shared" si="43"/>
        <v>3367345.2613499574</v>
      </c>
      <c r="AT59" s="205">
        <f t="shared" si="26"/>
        <v>-18117.071455543857</v>
      </c>
      <c r="AU59" s="205">
        <f t="shared" si="27"/>
        <v>-12627.54473006234</v>
      </c>
      <c r="AV59" s="205">
        <f t="shared" si="44"/>
        <v>-5489.5267254815171</v>
      </c>
      <c r="AW59" s="205">
        <f t="shared" si="45"/>
        <v>3361855.7346244757</v>
      </c>
      <c r="AX59" s="199"/>
    </row>
    <row r="60" spans="1:50">
      <c r="A60" s="73"/>
      <c r="B60" s="570"/>
      <c r="C60" s="200">
        <f t="shared" si="84"/>
        <v>4</v>
      </c>
      <c r="D60" s="201">
        <f t="shared" si="80"/>
        <v>7</v>
      </c>
      <c r="E60" s="202">
        <f t="shared" ca="1" si="47"/>
        <v>45689</v>
      </c>
      <c r="F60" s="203">
        <f>+VLOOKUP($C60,Dashboard!$S$4:$T$13,2,0)</f>
        <v>0.04</v>
      </c>
      <c r="G60" s="204">
        <f t="shared" si="28"/>
        <v>43</v>
      </c>
      <c r="H60" s="205">
        <f t="shared" si="29"/>
        <v>3506851.9183719023</v>
      </c>
      <c r="I60" s="205">
        <f t="shared" si="16"/>
        <v>-17903.073579954729</v>
      </c>
      <c r="J60" s="205">
        <f t="shared" si="17"/>
        <v>-11689.506394573007</v>
      </c>
      <c r="K60" s="205">
        <f t="shared" si="30"/>
        <v>-6213.5671853817221</v>
      </c>
      <c r="L60" s="205">
        <f t="shared" si="31"/>
        <v>3500638.3511865204</v>
      </c>
      <c r="M60" s="199"/>
      <c r="N60" s="200">
        <f t="shared" ca="1" si="32"/>
        <v>0</v>
      </c>
      <c r="O60" s="509">
        <f t="shared" ca="1" si="18"/>
        <v>0</v>
      </c>
      <c r="P60" s="200">
        <f t="shared" ca="1" si="19"/>
        <v>0</v>
      </c>
      <c r="Q60" s="201">
        <f t="shared" si="81"/>
        <v>7</v>
      </c>
      <c r="R60" s="202">
        <f t="shared" si="49"/>
        <v>41091</v>
      </c>
      <c r="S60" s="203">
        <f t="shared" si="33"/>
        <v>0.04</v>
      </c>
      <c r="T60" s="204" t="str">
        <f t="shared" ca="1" si="34"/>
        <v>I/O</v>
      </c>
      <c r="U60" s="205">
        <f t="shared" ca="1" si="35"/>
        <v>500000</v>
      </c>
      <c r="V60" s="205">
        <f t="shared" ca="1" si="20"/>
        <v>-1666.6666666666667</v>
      </c>
      <c r="W60" s="205">
        <f t="shared" ca="1" si="21"/>
        <v>-1666.6666666666667</v>
      </c>
      <c r="X60" s="205">
        <f t="shared" ca="1" si="36"/>
        <v>0</v>
      </c>
      <c r="Y60" s="205">
        <f t="shared" ca="1" si="37"/>
        <v>500000</v>
      </c>
      <c r="Z60" s="199"/>
      <c r="AA60" s="200">
        <f t="shared" ca="1" si="25"/>
        <v>4</v>
      </c>
      <c r="AB60" s="509">
        <f t="shared" ca="1" si="22"/>
        <v>42</v>
      </c>
      <c r="AC60" s="200">
        <f t="shared" si="85"/>
        <v>4</v>
      </c>
      <c r="AD60" s="201">
        <f t="shared" si="82"/>
        <v>7</v>
      </c>
      <c r="AE60" s="202">
        <f t="shared" ca="1" si="51"/>
        <v>45689</v>
      </c>
      <c r="AF60" s="203">
        <f>IF(Dashboard!$R$24="Float",AF59+Dashboard!$R$24/12,AF59)</f>
        <v>0.06</v>
      </c>
      <c r="AG60" s="204">
        <f t="shared" si="38"/>
        <v>43</v>
      </c>
      <c r="AH60" s="205">
        <f t="shared" si="39"/>
        <v>0</v>
      </c>
      <c r="AI60" s="205">
        <f t="shared" si="23"/>
        <v>0</v>
      </c>
      <c r="AJ60" s="205">
        <f t="shared" si="24"/>
        <v>0</v>
      </c>
      <c r="AK60" s="205">
        <f t="shared" si="40"/>
        <v>0</v>
      </c>
      <c r="AL60" s="205">
        <f t="shared" si="41"/>
        <v>0</v>
      </c>
      <c r="AM60" s="199"/>
      <c r="AN60" s="200">
        <f t="shared" si="86"/>
        <v>5</v>
      </c>
      <c r="AO60" s="201">
        <f t="shared" si="83"/>
        <v>7</v>
      </c>
      <c r="AP60" s="202">
        <f t="shared" ca="1" si="53"/>
        <v>45689</v>
      </c>
      <c r="AQ60" s="203">
        <f>IF(Dashboard!$S$20="Float",AQ59+Dashboard!$T$20/12,AQ59)</f>
        <v>4.4999999999999998E-2</v>
      </c>
      <c r="AR60" s="204">
        <f t="shared" si="42"/>
        <v>43</v>
      </c>
      <c r="AS60" s="205">
        <f t="shared" si="43"/>
        <v>3361855.7346244757</v>
      </c>
      <c r="AT60" s="205">
        <f t="shared" si="26"/>
        <v>-18117.071455543857</v>
      </c>
      <c r="AU60" s="205">
        <f t="shared" si="27"/>
        <v>-12606.959004841783</v>
      </c>
      <c r="AV60" s="205">
        <f t="shared" si="44"/>
        <v>-5510.1124507020741</v>
      </c>
      <c r="AW60" s="205">
        <f t="shared" si="45"/>
        <v>3356345.6221737736</v>
      </c>
      <c r="AX60" s="199"/>
    </row>
    <row r="61" spans="1:50">
      <c r="A61" s="73"/>
      <c r="B61" s="570"/>
      <c r="C61" s="200">
        <f t="shared" si="84"/>
        <v>4</v>
      </c>
      <c r="D61" s="201">
        <f t="shared" si="80"/>
        <v>8</v>
      </c>
      <c r="E61" s="202">
        <f t="shared" ca="1" si="47"/>
        <v>45717</v>
      </c>
      <c r="F61" s="203">
        <f>+VLOOKUP($C61,Dashboard!$S$4:$T$13,2,0)</f>
        <v>0.04</v>
      </c>
      <c r="G61" s="204">
        <f t="shared" si="28"/>
        <v>44</v>
      </c>
      <c r="H61" s="205">
        <f t="shared" si="29"/>
        <v>3500638.3511865204</v>
      </c>
      <c r="I61" s="205">
        <f t="shared" si="16"/>
        <v>-17903.073579954729</v>
      </c>
      <c r="J61" s="205">
        <f t="shared" si="17"/>
        <v>-11668.794503955069</v>
      </c>
      <c r="K61" s="205">
        <f t="shared" si="30"/>
        <v>-6234.2790759996606</v>
      </c>
      <c r="L61" s="205">
        <f t="shared" si="31"/>
        <v>3494404.0721105207</v>
      </c>
      <c r="M61" s="199"/>
      <c r="N61" s="200">
        <f t="shared" ca="1" si="32"/>
        <v>0</v>
      </c>
      <c r="O61" s="509">
        <f t="shared" ca="1" si="18"/>
        <v>0</v>
      </c>
      <c r="P61" s="200">
        <f t="shared" ca="1" si="19"/>
        <v>0</v>
      </c>
      <c r="Q61" s="201">
        <f t="shared" si="81"/>
        <v>8</v>
      </c>
      <c r="R61" s="202">
        <f t="shared" si="49"/>
        <v>41122</v>
      </c>
      <c r="S61" s="203">
        <f t="shared" si="33"/>
        <v>0.04</v>
      </c>
      <c r="T61" s="204" t="str">
        <f t="shared" ca="1" si="34"/>
        <v>I/O</v>
      </c>
      <c r="U61" s="205">
        <f t="shared" ca="1" si="35"/>
        <v>500000</v>
      </c>
      <c r="V61" s="205">
        <f t="shared" ca="1" si="20"/>
        <v>-1666.6666666666667</v>
      </c>
      <c r="W61" s="205">
        <f t="shared" ca="1" si="21"/>
        <v>-1666.6666666666667</v>
      </c>
      <c r="X61" s="205">
        <f t="shared" ca="1" si="36"/>
        <v>0</v>
      </c>
      <c r="Y61" s="205">
        <f t="shared" ca="1" si="37"/>
        <v>500000</v>
      </c>
      <c r="Z61" s="199"/>
      <c r="AA61" s="200">
        <f t="shared" ca="1" si="25"/>
        <v>4</v>
      </c>
      <c r="AB61" s="509">
        <f t="shared" ca="1" si="22"/>
        <v>43</v>
      </c>
      <c r="AC61" s="200">
        <f t="shared" si="85"/>
        <v>4</v>
      </c>
      <c r="AD61" s="201">
        <f t="shared" si="82"/>
        <v>8</v>
      </c>
      <c r="AE61" s="202">
        <f t="shared" ca="1" si="51"/>
        <v>45717</v>
      </c>
      <c r="AF61" s="203">
        <f>IF(Dashboard!$R$24="Float",AF60+Dashboard!$R$24/12,AF60)</f>
        <v>0.06</v>
      </c>
      <c r="AG61" s="204">
        <f t="shared" si="38"/>
        <v>44</v>
      </c>
      <c r="AH61" s="205">
        <f t="shared" si="39"/>
        <v>0</v>
      </c>
      <c r="AI61" s="205">
        <f t="shared" si="23"/>
        <v>0</v>
      </c>
      <c r="AJ61" s="205">
        <f t="shared" si="24"/>
        <v>0</v>
      </c>
      <c r="AK61" s="205">
        <f t="shared" si="40"/>
        <v>0</v>
      </c>
      <c r="AL61" s="205">
        <f t="shared" si="41"/>
        <v>0</v>
      </c>
      <c r="AM61" s="199"/>
      <c r="AN61" s="200">
        <f t="shared" si="86"/>
        <v>5</v>
      </c>
      <c r="AO61" s="201">
        <f t="shared" si="83"/>
        <v>8</v>
      </c>
      <c r="AP61" s="202">
        <f t="shared" ca="1" si="53"/>
        <v>45717</v>
      </c>
      <c r="AQ61" s="203">
        <f>IF(Dashboard!$S$20="Float",AQ60+Dashboard!$T$20/12,AQ60)</f>
        <v>4.4999999999999998E-2</v>
      </c>
      <c r="AR61" s="204">
        <f t="shared" si="42"/>
        <v>44</v>
      </c>
      <c r="AS61" s="205">
        <f t="shared" si="43"/>
        <v>3356345.6221737736</v>
      </c>
      <c r="AT61" s="205">
        <f t="shared" si="26"/>
        <v>-18117.071455543861</v>
      </c>
      <c r="AU61" s="205">
        <f t="shared" si="27"/>
        <v>-12586.296083151652</v>
      </c>
      <c r="AV61" s="205">
        <f t="shared" si="44"/>
        <v>-5530.7753723922087</v>
      </c>
      <c r="AW61" s="205">
        <f t="shared" si="45"/>
        <v>3350814.8468013816</v>
      </c>
      <c r="AX61" s="199"/>
    </row>
    <row r="62" spans="1:50">
      <c r="A62" s="73"/>
      <c r="B62" s="570"/>
      <c r="C62" s="200">
        <f t="shared" si="84"/>
        <v>4</v>
      </c>
      <c r="D62" s="201">
        <f t="shared" si="80"/>
        <v>9</v>
      </c>
      <c r="E62" s="202">
        <f t="shared" ca="1" si="47"/>
        <v>45748</v>
      </c>
      <c r="F62" s="203">
        <f>+VLOOKUP($C62,Dashboard!$S$4:$T$13,2,0)</f>
        <v>0.04</v>
      </c>
      <c r="G62" s="204">
        <f t="shared" si="28"/>
        <v>45</v>
      </c>
      <c r="H62" s="205">
        <f t="shared" si="29"/>
        <v>3494404.0721105207</v>
      </c>
      <c r="I62" s="205">
        <f t="shared" si="16"/>
        <v>-17903.073579954726</v>
      </c>
      <c r="J62" s="205">
        <f t="shared" si="17"/>
        <v>-11648.013573701735</v>
      </c>
      <c r="K62" s="205">
        <f t="shared" si="30"/>
        <v>-6255.0600062529902</v>
      </c>
      <c r="L62" s="205">
        <f t="shared" si="31"/>
        <v>3488149.0121042677</v>
      </c>
      <c r="M62" s="199"/>
      <c r="N62" s="200">
        <f t="shared" ca="1" si="32"/>
        <v>0</v>
      </c>
      <c r="O62" s="509">
        <f t="shared" ca="1" si="18"/>
        <v>0</v>
      </c>
      <c r="P62" s="200">
        <f t="shared" ca="1" si="19"/>
        <v>0</v>
      </c>
      <c r="Q62" s="201">
        <f t="shared" si="81"/>
        <v>9</v>
      </c>
      <c r="R62" s="202">
        <f t="shared" si="49"/>
        <v>41153</v>
      </c>
      <c r="S62" s="203">
        <f t="shared" si="33"/>
        <v>0.04</v>
      </c>
      <c r="T62" s="204" t="str">
        <f t="shared" ca="1" si="34"/>
        <v>I/O</v>
      </c>
      <c r="U62" s="205">
        <f t="shared" ca="1" si="35"/>
        <v>500000</v>
      </c>
      <c r="V62" s="205">
        <f t="shared" ca="1" si="20"/>
        <v>-1666.6666666666667</v>
      </c>
      <c r="W62" s="205">
        <f t="shared" ca="1" si="21"/>
        <v>-1666.6666666666667</v>
      </c>
      <c r="X62" s="205">
        <f t="shared" ca="1" si="36"/>
        <v>0</v>
      </c>
      <c r="Y62" s="205">
        <f t="shared" ca="1" si="37"/>
        <v>500000</v>
      </c>
      <c r="Z62" s="199"/>
      <c r="AA62" s="200">
        <f t="shared" ca="1" si="25"/>
        <v>4</v>
      </c>
      <c r="AB62" s="509">
        <f t="shared" ca="1" si="22"/>
        <v>44</v>
      </c>
      <c r="AC62" s="200">
        <f t="shared" si="85"/>
        <v>4</v>
      </c>
      <c r="AD62" s="201">
        <f t="shared" si="82"/>
        <v>9</v>
      </c>
      <c r="AE62" s="202">
        <f t="shared" ca="1" si="51"/>
        <v>45748</v>
      </c>
      <c r="AF62" s="203">
        <f>IF(Dashboard!$R$24="Float",AF61+Dashboard!$R$24/12,AF61)</f>
        <v>0.06</v>
      </c>
      <c r="AG62" s="204">
        <f t="shared" si="38"/>
        <v>45</v>
      </c>
      <c r="AH62" s="205">
        <f t="shared" si="39"/>
        <v>0</v>
      </c>
      <c r="AI62" s="205">
        <f t="shared" si="23"/>
        <v>0</v>
      </c>
      <c r="AJ62" s="205">
        <f t="shared" si="24"/>
        <v>0</v>
      </c>
      <c r="AK62" s="205">
        <f t="shared" si="40"/>
        <v>0</v>
      </c>
      <c r="AL62" s="205">
        <f t="shared" si="41"/>
        <v>0</v>
      </c>
      <c r="AM62" s="199"/>
      <c r="AN62" s="200">
        <f t="shared" si="86"/>
        <v>5</v>
      </c>
      <c r="AO62" s="201">
        <f t="shared" si="83"/>
        <v>9</v>
      </c>
      <c r="AP62" s="202">
        <f t="shared" ca="1" si="53"/>
        <v>45748</v>
      </c>
      <c r="AQ62" s="203">
        <f>IF(Dashboard!$S$20="Float",AQ61+Dashboard!$T$20/12,AQ61)</f>
        <v>4.4999999999999998E-2</v>
      </c>
      <c r="AR62" s="204">
        <f t="shared" si="42"/>
        <v>45</v>
      </c>
      <c r="AS62" s="205">
        <f t="shared" si="43"/>
        <v>3350814.8468013816</v>
      </c>
      <c r="AT62" s="205">
        <f t="shared" si="26"/>
        <v>-18117.071455543857</v>
      </c>
      <c r="AU62" s="205">
        <f t="shared" si="27"/>
        <v>-12565.55567550518</v>
      </c>
      <c r="AV62" s="205">
        <f t="shared" si="44"/>
        <v>-5551.5157800386769</v>
      </c>
      <c r="AW62" s="205">
        <f t="shared" si="45"/>
        <v>3345263.3310213429</v>
      </c>
      <c r="AX62" s="199"/>
    </row>
    <row r="63" spans="1:50">
      <c r="A63" s="73"/>
      <c r="B63" s="570"/>
      <c r="C63" s="200">
        <f t="shared" si="84"/>
        <v>4</v>
      </c>
      <c r="D63" s="201">
        <f t="shared" si="80"/>
        <v>10</v>
      </c>
      <c r="E63" s="202">
        <f t="shared" ca="1" si="47"/>
        <v>45778</v>
      </c>
      <c r="F63" s="203">
        <f>+VLOOKUP($C63,Dashboard!$S$4:$T$13,2,0)</f>
        <v>0.04</v>
      </c>
      <c r="G63" s="204">
        <f t="shared" si="28"/>
        <v>46</v>
      </c>
      <c r="H63" s="205">
        <f t="shared" si="29"/>
        <v>3488149.0121042677</v>
      </c>
      <c r="I63" s="205">
        <f t="shared" si="16"/>
        <v>-17903.073579954726</v>
      </c>
      <c r="J63" s="205">
        <f t="shared" si="17"/>
        <v>-11627.163373680893</v>
      </c>
      <c r="K63" s="205">
        <f t="shared" si="30"/>
        <v>-6275.910206273833</v>
      </c>
      <c r="L63" s="205">
        <f t="shared" si="31"/>
        <v>3481873.1018979941</v>
      </c>
      <c r="M63" s="199"/>
      <c r="N63" s="200">
        <f t="shared" ca="1" si="32"/>
        <v>0</v>
      </c>
      <c r="O63" s="509">
        <f t="shared" ca="1" si="18"/>
        <v>0</v>
      </c>
      <c r="P63" s="200">
        <f t="shared" ca="1" si="19"/>
        <v>0</v>
      </c>
      <c r="Q63" s="201">
        <f t="shared" si="81"/>
        <v>10</v>
      </c>
      <c r="R63" s="202">
        <f t="shared" si="49"/>
        <v>41183</v>
      </c>
      <c r="S63" s="203">
        <f t="shared" si="33"/>
        <v>0.04</v>
      </c>
      <c r="T63" s="204" t="str">
        <f t="shared" ca="1" si="34"/>
        <v>I/O</v>
      </c>
      <c r="U63" s="205">
        <f t="shared" ca="1" si="35"/>
        <v>500000</v>
      </c>
      <c r="V63" s="205">
        <f t="shared" ca="1" si="20"/>
        <v>-1666.6666666666667</v>
      </c>
      <c r="W63" s="205">
        <f t="shared" ca="1" si="21"/>
        <v>-1666.6666666666667</v>
      </c>
      <c r="X63" s="205">
        <f t="shared" ca="1" si="36"/>
        <v>0</v>
      </c>
      <c r="Y63" s="205">
        <f t="shared" ca="1" si="37"/>
        <v>500000</v>
      </c>
      <c r="Z63" s="199"/>
      <c r="AA63" s="200">
        <f t="shared" ca="1" si="25"/>
        <v>4</v>
      </c>
      <c r="AB63" s="509">
        <f t="shared" ca="1" si="22"/>
        <v>45</v>
      </c>
      <c r="AC63" s="200">
        <f t="shared" si="85"/>
        <v>4</v>
      </c>
      <c r="AD63" s="201">
        <f t="shared" si="82"/>
        <v>10</v>
      </c>
      <c r="AE63" s="202">
        <f t="shared" ca="1" si="51"/>
        <v>45778</v>
      </c>
      <c r="AF63" s="203">
        <f>IF(Dashboard!$R$24="Float",AF62+Dashboard!$R$24/12,AF62)</f>
        <v>0.06</v>
      </c>
      <c r="AG63" s="204">
        <f t="shared" si="38"/>
        <v>46</v>
      </c>
      <c r="AH63" s="205">
        <f t="shared" si="39"/>
        <v>0</v>
      </c>
      <c r="AI63" s="205">
        <f t="shared" si="23"/>
        <v>0</v>
      </c>
      <c r="AJ63" s="205">
        <f t="shared" si="24"/>
        <v>0</v>
      </c>
      <c r="AK63" s="205">
        <f t="shared" si="40"/>
        <v>0</v>
      </c>
      <c r="AL63" s="205">
        <f t="shared" si="41"/>
        <v>0</v>
      </c>
      <c r="AM63" s="199"/>
      <c r="AN63" s="200">
        <f t="shared" si="86"/>
        <v>5</v>
      </c>
      <c r="AO63" s="201">
        <f t="shared" si="83"/>
        <v>10</v>
      </c>
      <c r="AP63" s="202">
        <f t="shared" ca="1" si="53"/>
        <v>45778</v>
      </c>
      <c r="AQ63" s="203">
        <f>IF(Dashboard!$S$20="Float",AQ62+Dashboard!$T$20/12,AQ62)</f>
        <v>4.4999999999999998E-2</v>
      </c>
      <c r="AR63" s="204">
        <f t="shared" si="42"/>
        <v>46</v>
      </c>
      <c r="AS63" s="205">
        <f t="shared" si="43"/>
        <v>3345263.3310213429</v>
      </c>
      <c r="AT63" s="205">
        <f t="shared" si="26"/>
        <v>-18117.071455543861</v>
      </c>
      <c r="AU63" s="205">
        <f t="shared" si="27"/>
        <v>-12544.737491330035</v>
      </c>
      <c r="AV63" s="205">
        <f t="shared" si="44"/>
        <v>-5572.3339642138253</v>
      </c>
      <c r="AW63" s="205">
        <f t="shared" si="45"/>
        <v>3339690.9970571292</v>
      </c>
      <c r="AX63" s="199"/>
    </row>
    <row r="64" spans="1:50">
      <c r="A64" s="73"/>
      <c r="B64" s="570"/>
      <c r="C64" s="200">
        <f t="shared" si="84"/>
        <v>4</v>
      </c>
      <c r="D64" s="201">
        <f t="shared" si="80"/>
        <v>11</v>
      </c>
      <c r="E64" s="202">
        <f t="shared" ca="1" si="47"/>
        <v>45809</v>
      </c>
      <c r="F64" s="203">
        <f>+VLOOKUP($C64,Dashboard!$S$4:$T$13,2,0)</f>
        <v>0.04</v>
      </c>
      <c r="G64" s="204">
        <f t="shared" si="28"/>
        <v>47</v>
      </c>
      <c r="H64" s="205">
        <f t="shared" si="29"/>
        <v>3481873.1018979941</v>
      </c>
      <c r="I64" s="205">
        <f t="shared" si="16"/>
        <v>-17903.073579954729</v>
      </c>
      <c r="J64" s="205">
        <f t="shared" si="17"/>
        <v>-11606.243672993312</v>
      </c>
      <c r="K64" s="205">
        <f t="shared" si="30"/>
        <v>-6296.8299069614168</v>
      </c>
      <c r="L64" s="205">
        <f t="shared" si="31"/>
        <v>3475576.2719910326</v>
      </c>
      <c r="M64" s="199"/>
      <c r="N64" s="200">
        <f t="shared" ca="1" si="32"/>
        <v>0</v>
      </c>
      <c r="O64" s="509">
        <f t="shared" ca="1" si="18"/>
        <v>0</v>
      </c>
      <c r="P64" s="200">
        <f t="shared" ca="1" si="19"/>
        <v>0</v>
      </c>
      <c r="Q64" s="201">
        <f t="shared" si="81"/>
        <v>11</v>
      </c>
      <c r="R64" s="202">
        <f t="shared" si="49"/>
        <v>41214</v>
      </c>
      <c r="S64" s="203">
        <f t="shared" si="33"/>
        <v>0.04</v>
      </c>
      <c r="T64" s="204" t="str">
        <f t="shared" ca="1" si="34"/>
        <v>I/O</v>
      </c>
      <c r="U64" s="205">
        <f t="shared" ca="1" si="35"/>
        <v>500000</v>
      </c>
      <c r="V64" s="205">
        <f t="shared" ca="1" si="20"/>
        <v>-1666.6666666666667</v>
      </c>
      <c r="W64" s="205">
        <f t="shared" ca="1" si="21"/>
        <v>-1666.6666666666667</v>
      </c>
      <c r="X64" s="205">
        <f t="shared" ca="1" si="36"/>
        <v>0</v>
      </c>
      <c r="Y64" s="205">
        <f t="shared" ca="1" si="37"/>
        <v>500000</v>
      </c>
      <c r="Z64" s="199"/>
      <c r="AA64" s="200">
        <f t="shared" ca="1" si="25"/>
        <v>4</v>
      </c>
      <c r="AB64" s="509">
        <f t="shared" ca="1" si="22"/>
        <v>46</v>
      </c>
      <c r="AC64" s="200">
        <f t="shared" si="85"/>
        <v>4</v>
      </c>
      <c r="AD64" s="201">
        <f t="shared" si="82"/>
        <v>11</v>
      </c>
      <c r="AE64" s="202">
        <f t="shared" ca="1" si="51"/>
        <v>45809</v>
      </c>
      <c r="AF64" s="203">
        <f>IF(Dashboard!$R$24="Float",AF63+Dashboard!$R$24/12,AF63)</f>
        <v>0.06</v>
      </c>
      <c r="AG64" s="204">
        <f t="shared" si="38"/>
        <v>47</v>
      </c>
      <c r="AH64" s="205">
        <f t="shared" si="39"/>
        <v>0</v>
      </c>
      <c r="AI64" s="205">
        <f t="shared" si="23"/>
        <v>0</v>
      </c>
      <c r="AJ64" s="205">
        <f t="shared" si="24"/>
        <v>0</v>
      </c>
      <c r="AK64" s="205">
        <f t="shared" si="40"/>
        <v>0</v>
      </c>
      <c r="AL64" s="205">
        <f t="shared" si="41"/>
        <v>0</v>
      </c>
      <c r="AM64" s="199"/>
      <c r="AN64" s="200">
        <f t="shared" si="86"/>
        <v>5</v>
      </c>
      <c r="AO64" s="201">
        <f t="shared" si="83"/>
        <v>11</v>
      </c>
      <c r="AP64" s="202">
        <f t="shared" ca="1" si="53"/>
        <v>45809</v>
      </c>
      <c r="AQ64" s="203">
        <f>IF(Dashboard!$S$20="Float",AQ63+Dashboard!$T$20/12,AQ63)</f>
        <v>4.4999999999999998E-2</v>
      </c>
      <c r="AR64" s="204">
        <f t="shared" si="42"/>
        <v>47</v>
      </c>
      <c r="AS64" s="205">
        <f t="shared" si="43"/>
        <v>3339690.9970571292</v>
      </c>
      <c r="AT64" s="205">
        <f t="shared" si="26"/>
        <v>-18117.071455543861</v>
      </c>
      <c r="AU64" s="205">
        <f t="shared" si="27"/>
        <v>-12523.841238964234</v>
      </c>
      <c r="AV64" s="205">
        <f t="shared" si="44"/>
        <v>-5593.2302165796264</v>
      </c>
      <c r="AW64" s="205">
        <f t="shared" si="45"/>
        <v>3334097.7668405497</v>
      </c>
      <c r="AX64" s="199"/>
    </row>
    <row r="65" spans="1:50">
      <c r="A65" s="73"/>
      <c r="B65" s="570"/>
      <c r="C65" s="200">
        <f t="shared" si="84"/>
        <v>4</v>
      </c>
      <c r="D65" s="201">
        <f t="shared" si="80"/>
        <v>12</v>
      </c>
      <c r="E65" s="202">
        <f t="shared" ca="1" si="47"/>
        <v>45839</v>
      </c>
      <c r="F65" s="203">
        <f>+VLOOKUP($C65,Dashboard!$S$4:$T$13,2,0)</f>
        <v>0.04</v>
      </c>
      <c r="G65" s="204">
        <f t="shared" si="28"/>
        <v>48</v>
      </c>
      <c r="H65" s="205">
        <f t="shared" si="29"/>
        <v>3475576.2719910326</v>
      </c>
      <c r="I65" s="205">
        <f t="shared" si="16"/>
        <v>-17903.073579954726</v>
      </c>
      <c r="J65" s="205">
        <f t="shared" si="17"/>
        <v>-11585.254239970111</v>
      </c>
      <c r="K65" s="205">
        <f t="shared" si="30"/>
        <v>-6317.819339984615</v>
      </c>
      <c r="L65" s="205">
        <f t="shared" si="31"/>
        <v>3469258.4526510481</v>
      </c>
      <c r="M65" s="199"/>
      <c r="N65" s="200">
        <f t="shared" ca="1" si="32"/>
        <v>0</v>
      </c>
      <c r="O65" s="509">
        <f t="shared" ca="1" si="18"/>
        <v>0</v>
      </c>
      <c r="P65" s="200">
        <f t="shared" ca="1" si="19"/>
        <v>0</v>
      </c>
      <c r="Q65" s="201">
        <f t="shared" si="81"/>
        <v>12</v>
      </c>
      <c r="R65" s="202">
        <f t="shared" si="49"/>
        <v>41244</v>
      </c>
      <c r="S65" s="203">
        <f t="shared" si="33"/>
        <v>0.04</v>
      </c>
      <c r="T65" s="204" t="str">
        <f t="shared" ca="1" si="34"/>
        <v>I/O</v>
      </c>
      <c r="U65" s="205">
        <f t="shared" ca="1" si="35"/>
        <v>500000</v>
      </c>
      <c r="V65" s="205">
        <f t="shared" ca="1" si="20"/>
        <v>-1666.6666666666667</v>
      </c>
      <c r="W65" s="205">
        <f t="shared" ca="1" si="21"/>
        <v>-1666.6666666666667</v>
      </c>
      <c r="X65" s="205">
        <f t="shared" ca="1" si="36"/>
        <v>0</v>
      </c>
      <c r="Y65" s="205">
        <f t="shared" ca="1" si="37"/>
        <v>500000</v>
      </c>
      <c r="Z65" s="199"/>
      <c r="AA65" s="200">
        <f t="shared" ca="1" si="25"/>
        <v>4</v>
      </c>
      <c r="AB65" s="509">
        <f t="shared" ca="1" si="22"/>
        <v>47</v>
      </c>
      <c r="AC65" s="200">
        <f t="shared" si="85"/>
        <v>4</v>
      </c>
      <c r="AD65" s="201">
        <f t="shared" si="82"/>
        <v>12</v>
      </c>
      <c r="AE65" s="202">
        <f t="shared" ca="1" si="51"/>
        <v>45839</v>
      </c>
      <c r="AF65" s="203">
        <f>IF(Dashboard!$R$24="Float",AF64+Dashboard!$R$24/12,AF64)</f>
        <v>0.06</v>
      </c>
      <c r="AG65" s="204">
        <f t="shared" si="38"/>
        <v>48</v>
      </c>
      <c r="AH65" s="205">
        <f t="shared" si="39"/>
        <v>0</v>
      </c>
      <c r="AI65" s="205">
        <f t="shared" si="23"/>
        <v>0</v>
      </c>
      <c r="AJ65" s="205">
        <f t="shared" si="24"/>
        <v>0</v>
      </c>
      <c r="AK65" s="205">
        <f t="shared" si="40"/>
        <v>0</v>
      </c>
      <c r="AL65" s="205">
        <f t="shared" si="41"/>
        <v>0</v>
      </c>
      <c r="AM65" s="199"/>
      <c r="AN65" s="200">
        <f t="shared" si="86"/>
        <v>5</v>
      </c>
      <c r="AO65" s="201">
        <f t="shared" si="83"/>
        <v>12</v>
      </c>
      <c r="AP65" s="202">
        <f t="shared" ca="1" si="53"/>
        <v>45839</v>
      </c>
      <c r="AQ65" s="203">
        <f>IF(Dashboard!$S$20="Float",AQ64+Dashboard!$T$20/12,AQ64)</f>
        <v>4.4999999999999998E-2</v>
      </c>
      <c r="AR65" s="204">
        <f t="shared" si="42"/>
        <v>48</v>
      </c>
      <c r="AS65" s="205">
        <f t="shared" si="43"/>
        <v>3334097.7668405497</v>
      </c>
      <c r="AT65" s="205">
        <f t="shared" si="26"/>
        <v>-18117.071455543861</v>
      </c>
      <c r="AU65" s="205">
        <f t="shared" si="27"/>
        <v>-12502.866625652061</v>
      </c>
      <c r="AV65" s="205">
        <f t="shared" si="44"/>
        <v>-5614.2048298917998</v>
      </c>
      <c r="AW65" s="205">
        <f t="shared" si="45"/>
        <v>3328483.562010658</v>
      </c>
      <c r="AX65" s="199"/>
    </row>
    <row r="66" spans="1:50">
      <c r="A66" s="73"/>
      <c r="B66" s="571">
        <f>+C66</f>
        <v>5</v>
      </c>
      <c r="C66" s="16">
        <f t="shared" ref="C66" si="87">+C65+1</f>
        <v>5</v>
      </c>
      <c r="D66" s="17">
        <v>1</v>
      </c>
      <c r="E66" s="18">
        <f t="shared" ca="1" si="47"/>
        <v>45870</v>
      </c>
      <c r="F66" s="10">
        <f>+VLOOKUP($C66,Dashboard!$S$4:$T$13,2,0)</f>
        <v>0.04</v>
      </c>
      <c r="G66" s="14">
        <f t="shared" si="28"/>
        <v>49</v>
      </c>
      <c r="H66" s="5">
        <f t="shared" si="29"/>
        <v>3469258.4526510481</v>
      </c>
      <c r="I66" s="5">
        <f t="shared" si="16"/>
        <v>-17903.073579954729</v>
      </c>
      <c r="J66" s="5">
        <f t="shared" si="17"/>
        <v>-11564.19484217016</v>
      </c>
      <c r="K66" s="5">
        <f t="shared" si="30"/>
        <v>-6338.8787377845692</v>
      </c>
      <c r="L66" s="5">
        <f t="shared" si="31"/>
        <v>3462919.5739132636</v>
      </c>
      <c r="M66" s="199"/>
      <c r="N66" s="16">
        <f t="shared" ca="1" si="32"/>
        <v>0</v>
      </c>
      <c r="O66" s="508">
        <f t="shared" ca="1" si="18"/>
        <v>0</v>
      </c>
      <c r="P66" s="16">
        <f t="shared" ca="1" si="19"/>
        <v>0</v>
      </c>
      <c r="Q66" s="17">
        <v>1</v>
      </c>
      <c r="R66" s="18">
        <f t="shared" si="49"/>
        <v>41275</v>
      </c>
      <c r="S66" s="10">
        <f t="shared" si="33"/>
        <v>0.04</v>
      </c>
      <c r="T66" s="14" t="str">
        <f t="shared" ca="1" si="34"/>
        <v>I/O</v>
      </c>
      <c r="U66" s="5">
        <f t="shared" ca="1" si="35"/>
        <v>500000</v>
      </c>
      <c r="V66" s="5">
        <f t="shared" ca="1" si="20"/>
        <v>-1666.6666666666667</v>
      </c>
      <c r="W66" s="5">
        <f t="shared" ca="1" si="21"/>
        <v>-1666.6666666666667</v>
      </c>
      <c r="X66" s="5">
        <f t="shared" ca="1" si="36"/>
        <v>0</v>
      </c>
      <c r="Y66" s="5">
        <f t="shared" ca="1" si="37"/>
        <v>500000</v>
      </c>
      <c r="Z66" s="199"/>
      <c r="AA66" s="16">
        <f t="shared" ca="1" si="25"/>
        <v>4</v>
      </c>
      <c r="AB66" s="508">
        <f t="shared" ca="1" si="22"/>
        <v>48</v>
      </c>
      <c r="AC66" s="16">
        <f t="shared" ref="AC66" si="88">+AC65+1</f>
        <v>5</v>
      </c>
      <c r="AD66" s="17">
        <v>1</v>
      </c>
      <c r="AE66" s="18">
        <f t="shared" ca="1" si="51"/>
        <v>45870</v>
      </c>
      <c r="AF66" s="10">
        <f>IF(Dashboard!$R$24="Float",AF65+Dashboard!$R$24/12,AF65)</f>
        <v>0.06</v>
      </c>
      <c r="AG66" s="14">
        <f t="shared" si="38"/>
        <v>49</v>
      </c>
      <c r="AH66" s="5">
        <f t="shared" si="39"/>
        <v>0</v>
      </c>
      <c r="AI66" s="5">
        <f t="shared" si="23"/>
        <v>0</v>
      </c>
      <c r="AJ66" s="5">
        <f t="shared" si="24"/>
        <v>0</v>
      </c>
      <c r="AK66" s="5">
        <f t="shared" si="40"/>
        <v>0</v>
      </c>
      <c r="AL66" s="5">
        <f t="shared" si="41"/>
        <v>0</v>
      </c>
      <c r="AM66" s="199"/>
      <c r="AN66" s="16">
        <f t="shared" ref="AN66" si="89">+AN65+1</f>
        <v>6</v>
      </c>
      <c r="AO66" s="17">
        <v>1</v>
      </c>
      <c r="AP66" s="18">
        <f t="shared" ca="1" si="53"/>
        <v>45870</v>
      </c>
      <c r="AQ66" s="10">
        <f>IF(Dashboard!$S$20="Float",AQ65+Dashboard!$T$20/12,AQ65)</f>
        <v>4.4999999999999998E-2</v>
      </c>
      <c r="AR66" s="14">
        <f t="shared" si="42"/>
        <v>49</v>
      </c>
      <c r="AS66" s="5">
        <f t="shared" si="43"/>
        <v>3328483.562010658</v>
      </c>
      <c r="AT66" s="5">
        <f t="shared" si="26"/>
        <v>-18117.071455543861</v>
      </c>
      <c r="AU66" s="5">
        <f t="shared" si="27"/>
        <v>-12481.813357539968</v>
      </c>
      <c r="AV66" s="5">
        <f t="shared" si="44"/>
        <v>-5635.2580980038929</v>
      </c>
      <c r="AW66" s="5">
        <f t="shared" si="45"/>
        <v>3322848.3039126541</v>
      </c>
      <c r="AX66" s="199"/>
    </row>
    <row r="67" spans="1:50">
      <c r="A67" s="73"/>
      <c r="B67" s="572"/>
      <c r="C67" s="16">
        <f>+C66</f>
        <v>5</v>
      </c>
      <c r="D67" s="17">
        <f>+D66+1</f>
        <v>2</v>
      </c>
      <c r="E67" s="18">
        <f t="shared" ca="1" si="47"/>
        <v>45901</v>
      </c>
      <c r="F67" s="10">
        <f>+VLOOKUP($C67,Dashboard!$S$4:$T$13,2,0)</f>
        <v>0.04</v>
      </c>
      <c r="G67" s="14">
        <f t="shared" si="28"/>
        <v>50</v>
      </c>
      <c r="H67" s="5">
        <f t="shared" si="29"/>
        <v>3462919.5739132636</v>
      </c>
      <c r="I67" s="5">
        <f t="shared" si="16"/>
        <v>-17903.073579954729</v>
      </c>
      <c r="J67" s="5">
        <f t="shared" si="17"/>
        <v>-11543.065246377546</v>
      </c>
      <c r="K67" s="5">
        <f t="shared" si="30"/>
        <v>-6360.0083335771833</v>
      </c>
      <c r="L67" s="5">
        <f t="shared" si="31"/>
        <v>3456559.5655796863</v>
      </c>
      <c r="M67" s="199"/>
      <c r="N67" s="16">
        <f t="shared" ca="1" si="32"/>
        <v>0</v>
      </c>
      <c r="O67" s="508">
        <f t="shared" ca="1" si="18"/>
        <v>0</v>
      </c>
      <c r="P67" s="16">
        <f t="shared" ca="1" si="19"/>
        <v>0</v>
      </c>
      <c r="Q67" s="17">
        <f>+Q66+1</f>
        <v>2</v>
      </c>
      <c r="R67" s="18">
        <f t="shared" si="49"/>
        <v>41306</v>
      </c>
      <c r="S67" s="10">
        <f t="shared" si="33"/>
        <v>0.04</v>
      </c>
      <c r="T67" s="14" t="str">
        <f t="shared" ca="1" si="34"/>
        <v>I/O</v>
      </c>
      <c r="U67" s="5">
        <f t="shared" ca="1" si="35"/>
        <v>500000</v>
      </c>
      <c r="V67" s="5">
        <f t="shared" ca="1" si="20"/>
        <v>-1666.6666666666667</v>
      </c>
      <c r="W67" s="5">
        <f t="shared" ca="1" si="21"/>
        <v>-1666.6666666666667</v>
      </c>
      <c r="X67" s="5">
        <f t="shared" ca="1" si="36"/>
        <v>0</v>
      </c>
      <c r="Y67" s="5">
        <f t="shared" ca="1" si="37"/>
        <v>500000</v>
      </c>
      <c r="Z67" s="199"/>
      <c r="AA67" s="16">
        <f t="shared" ca="1" si="25"/>
        <v>5</v>
      </c>
      <c r="AB67" s="508">
        <f t="shared" ca="1" si="22"/>
        <v>49</v>
      </c>
      <c r="AC67" s="16">
        <f>+AC66</f>
        <v>5</v>
      </c>
      <c r="AD67" s="17">
        <f>+AD66+1</f>
        <v>2</v>
      </c>
      <c r="AE67" s="18">
        <f t="shared" ca="1" si="51"/>
        <v>45901</v>
      </c>
      <c r="AF67" s="10">
        <f>IF(Dashboard!$R$24="Float",AF66+Dashboard!$R$24/12,AF66)</f>
        <v>0.06</v>
      </c>
      <c r="AG67" s="14">
        <f t="shared" si="38"/>
        <v>50</v>
      </c>
      <c r="AH67" s="5">
        <f t="shared" si="39"/>
        <v>0</v>
      </c>
      <c r="AI67" s="5">
        <f t="shared" si="23"/>
        <v>0</v>
      </c>
      <c r="AJ67" s="5">
        <f t="shared" si="24"/>
        <v>0</v>
      </c>
      <c r="AK67" s="5">
        <f t="shared" si="40"/>
        <v>0</v>
      </c>
      <c r="AL67" s="5">
        <f t="shared" si="41"/>
        <v>0</v>
      </c>
      <c r="AM67" s="199"/>
      <c r="AN67" s="16">
        <f>+AN66</f>
        <v>6</v>
      </c>
      <c r="AO67" s="17">
        <f>+AO66+1</f>
        <v>2</v>
      </c>
      <c r="AP67" s="18">
        <f t="shared" ca="1" si="53"/>
        <v>45901</v>
      </c>
      <c r="AQ67" s="10">
        <f>IF(Dashboard!$S$20="Float",AQ66+Dashboard!$T$20/12,AQ66)</f>
        <v>4.4999999999999998E-2</v>
      </c>
      <c r="AR67" s="14">
        <f t="shared" si="42"/>
        <v>50</v>
      </c>
      <c r="AS67" s="5">
        <f t="shared" si="43"/>
        <v>3322848.3039126541</v>
      </c>
      <c r="AT67" s="5">
        <f t="shared" si="26"/>
        <v>-18117.071455543861</v>
      </c>
      <c r="AU67" s="5">
        <f t="shared" si="27"/>
        <v>-12460.681139672452</v>
      </c>
      <c r="AV67" s="5">
        <f t="shared" si="44"/>
        <v>-5656.3903158714093</v>
      </c>
      <c r="AW67" s="5">
        <f t="shared" si="45"/>
        <v>3317191.9135967828</v>
      </c>
      <c r="AX67" s="199"/>
    </row>
    <row r="68" spans="1:50">
      <c r="A68" s="73"/>
      <c r="B68" s="572"/>
      <c r="C68" s="16">
        <f>+C67</f>
        <v>5</v>
      </c>
      <c r="D68" s="17">
        <f>+D67+1</f>
        <v>3</v>
      </c>
      <c r="E68" s="18">
        <f t="shared" ca="1" si="47"/>
        <v>45931</v>
      </c>
      <c r="F68" s="10">
        <f>+VLOOKUP($C68,Dashboard!$S$4:$T$13,2,0)</f>
        <v>0.04</v>
      </c>
      <c r="G68" s="14">
        <f t="shared" si="28"/>
        <v>51</v>
      </c>
      <c r="H68" s="5">
        <f t="shared" si="29"/>
        <v>3456559.5655796863</v>
      </c>
      <c r="I68" s="5">
        <f t="shared" si="16"/>
        <v>-17903.073579954729</v>
      </c>
      <c r="J68" s="5">
        <f t="shared" si="17"/>
        <v>-11521.865218598954</v>
      </c>
      <c r="K68" s="5">
        <f t="shared" si="30"/>
        <v>-6381.2083613557752</v>
      </c>
      <c r="L68" s="5">
        <f t="shared" si="31"/>
        <v>3450178.3572183307</v>
      </c>
      <c r="M68" s="199"/>
      <c r="N68" s="16">
        <f t="shared" ca="1" si="32"/>
        <v>0</v>
      </c>
      <c r="O68" s="508">
        <f t="shared" ca="1" si="18"/>
        <v>0</v>
      </c>
      <c r="P68" s="16">
        <f t="shared" ca="1" si="19"/>
        <v>0</v>
      </c>
      <c r="Q68" s="17">
        <f>+Q67+1</f>
        <v>3</v>
      </c>
      <c r="R68" s="18">
        <f t="shared" si="49"/>
        <v>41334</v>
      </c>
      <c r="S68" s="10">
        <f t="shared" si="33"/>
        <v>0.04</v>
      </c>
      <c r="T68" s="14" t="str">
        <f t="shared" ca="1" si="34"/>
        <v>I/O</v>
      </c>
      <c r="U68" s="5">
        <f t="shared" ca="1" si="35"/>
        <v>500000</v>
      </c>
      <c r="V68" s="5">
        <f t="shared" ca="1" si="20"/>
        <v>-1666.6666666666667</v>
      </c>
      <c r="W68" s="5">
        <f t="shared" ca="1" si="21"/>
        <v>-1666.6666666666667</v>
      </c>
      <c r="X68" s="5">
        <f t="shared" ca="1" si="36"/>
        <v>0</v>
      </c>
      <c r="Y68" s="5">
        <f t="shared" ca="1" si="37"/>
        <v>500000</v>
      </c>
      <c r="Z68" s="199"/>
      <c r="AA68" s="16">
        <f t="shared" ca="1" si="25"/>
        <v>5</v>
      </c>
      <c r="AB68" s="508">
        <f t="shared" ca="1" si="22"/>
        <v>50</v>
      </c>
      <c r="AC68" s="16">
        <f>+AC67</f>
        <v>5</v>
      </c>
      <c r="AD68" s="17">
        <f>+AD67+1</f>
        <v>3</v>
      </c>
      <c r="AE68" s="18">
        <f t="shared" ca="1" si="51"/>
        <v>45931</v>
      </c>
      <c r="AF68" s="10">
        <f>IF(Dashboard!$R$24="Float",AF67+Dashboard!$R$24/12,AF67)</f>
        <v>0.06</v>
      </c>
      <c r="AG68" s="14">
        <f t="shared" si="38"/>
        <v>51</v>
      </c>
      <c r="AH68" s="5">
        <f t="shared" si="39"/>
        <v>0</v>
      </c>
      <c r="AI68" s="5">
        <f t="shared" si="23"/>
        <v>0</v>
      </c>
      <c r="AJ68" s="5">
        <f t="shared" si="24"/>
        <v>0</v>
      </c>
      <c r="AK68" s="5">
        <f t="shared" si="40"/>
        <v>0</v>
      </c>
      <c r="AL68" s="5">
        <f t="shared" si="41"/>
        <v>0</v>
      </c>
      <c r="AM68" s="199"/>
      <c r="AN68" s="16">
        <f>+AN67</f>
        <v>6</v>
      </c>
      <c r="AO68" s="17">
        <f>+AO67+1</f>
        <v>3</v>
      </c>
      <c r="AP68" s="18">
        <f t="shared" ca="1" si="53"/>
        <v>45931</v>
      </c>
      <c r="AQ68" s="10">
        <f>IF(Dashboard!$S$20="Float",AQ67+Dashboard!$T$20/12,AQ67)</f>
        <v>4.4999999999999998E-2</v>
      </c>
      <c r="AR68" s="14">
        <f t="shared" si="42"/>
        <v>51</v>
      </c>
      <c r="AS68" s="5">
        <f t="shared" si="43"/>
        <v>3317191.9135967828</v>
      </c>
      <c r="AT68" s="5">
        <f t="shared" si="26"/>
        <v>-18117.071455543861</v>
      </c>
      <c r="AU68" s="5">
        <f t="shared" si="27"/>
        <v>-12439.469675987935</v>
      </c>
      <c r="AV68" s="5">
        <f t="shared" si="44"/>
        <v>-5677.6017795559255</v>
      </c>
      <c r="AW68" s="5">
        <f t="shared" si="45"/>
        <v>3311514.3118172269</v>
      </c>
      <c r="AX68" s="199"/>
    </row>
    <row r="69" spans="1:50">
      <c r="A69" s="73"/>
      <c r="B69" s="572"/>
      <c r="C69" s="16">
        <f>+C68</f>
        <v>5</v>
      </c>
      <c r="D69" s="17">
        <f t="shared" ref="D69:D77" si="90">+D68+1</f>
        <v>4</v>
      </c>
      <c r="E69" s="18">
        <f t="shared" ca="1" si="47"/>
        <v>45962</v>
      </c>
      <c r="F69" s="10">
        <f>+VLOOKUP($C69,Dashboard!$S$4:$T$13,2,0)</f>
        <v>0.04</v>
      </c>
      <c r="G69" s="14">
        <f t="shared" si="28"/>
        <v>52</v>
      </c>
      <c r="H69" s="5">
        <f t="shared" si="29"/>
        <v>3450178.3572183307</v>
      </c>
      <c r="I69" s="5">
        <f t="shared" si="16"/>
        <v>-17903.073579954726</v>
      </c>
      <c r="J69" s="5">
        <f t="shared" si="17"/>
        <v>-11500.594524061104</v>
      </c>
      <c r="K69" s="5">
        <f t="shared" si="30"/>
        <v>-6402.479055893622</v>
      </c>
      <c r="L69" s="5">
        <f t="shared" si="31"/>
        <v>3443775.8781624371</v>
      </c>
      <c r="M69" s="199"/>
      <c r="N69" s="16">
        <f t="shared" ca="1" si="32"/>
        <v>0</v>
      </c>
      <c r="O69" s="508">
        <f t="shared" ca="1" si="18"/>
        <v>0</v>
      </c>
      <c r="P69" s="16">
        <f t="shared" ca="1" si="19"/>
        <v>0</v>
      </c>
      <c r="Q69" s="17">
        <f t="shared" ref="Q69:Q77" si="91">+Q68+1</f>
        <v>4</v>
      </c>
      <c r="R69" s="18">
        <f t="shared" si="49"/>
        <v>41365</v>
      </c>
      <c r="S69" s="10">
        <f t="shared" si="33"/>
        <v>0.04</v>
      </c>
      <c r="T69" s="14" t="str">
        <f t="shared" ca="1" si="34"/>
        <v>I/O</v>
      </c>
      <c r="U69" s="5">
        <f t="shared" ca="1" si="35"/>
        <v>500000</v>
      </c>
      <c r="V69" s="5">
        <f t="shared" ca="1" si="20"/>
        <v>-1666.6666666666667</v>
      </c>
      <c r="W69" s="5">
        <f t="shared" ca="1" si="21"/>
        <v>-1666.6666666666667</v>
      </c>
      <c r="X69" s="5">
        <f t="shared" ca="1" si="36"/>
        <v>0</v>
      </c>
      <c r="Y69" s="5">
        <f t="shared" ca="1" si="37"/>
        <v>500000</v>
      </c>
      <c r="Z69" s="199"/>
      <c r="AA69" s="16">
        <f t="shared" ca="1" si="25"/>
        <v>5</v>
      </c>
      <c r="AB69" s="508">
        <f t="shared" ca="1" si="22"/>
        <v>51</v>
      </c>
      <c r="AC69" s="16">
        <f>+AC68</f>
        <v>5</v>
      </c>
      <c r="AD69" s="17">
        <f t="shared" ref="AD69:AD77" si="92">+AD68+1</f>
        <v>4</v>
      </c>
      <c r="AE69" s="18">
        <f t="shared" ca="1" si="51"/>
        <v>45962</v>
      </c>
      <c r="AF69" s="10">
        <f>IF(Dashboard!$R$24="Float",AF68+Dashboard!$R$24/12,AF68)</f>
        <v>0.06</v>
      </c>
      <c r="AG69" s="14">
        <f t="shared" si="38"/>
        <v>52</v>
      </c>
      <c r="AH69" s="5">
        <f t="shared" si="39"/>
        <v>0</v>
      </c>
      <c r="AI69" s="5">
        <f t="shared" si="23"/>
        <v>0</v>
      </c>
      <c r="AJ69" s="5">
        <f t="shared" si="24"/>
        <v>0</v>
      </c>
      <c r="AK69" s="5">
        <f t="shared" si="40"/>
        <v>0</v>
      </c>
      <c r="AL69" s="5">
        <f t="shared" si="41"/>
        <v>0</v>
      </c>
      <c r="AM69" s="199"/>
      <c r="AN69" s="16">
        <f>+AN68</f>
        <v>6</v>
      </c>
      <c r="AO69" s="17">
        <f t="shared" ref="AO69:AO77" si="93">+AO68+1</f>
        <v>4</v>
      </c>
      <c r="AP69" s="18">
        <f t="shared" ca="1" si="53"/>
        <v>45962</v>
      </c>
      <c r="AQ69" s="10">
        <f>IF(Dashboard!$S$20="Float",AQ68+Dashboard!$T$20/12,AQ68)</f>
        <v>4.4999999999999998E-2</v>
      </c>
      <c r="AR69" s="14">
        <f t="shared" si="42"/>
        <v>52</v>
      </c>
      <c r="AS69" s="5">
        <f t="shared" si="43"/>
        <v>3311514.3118172269</v>
      </c>
      <c r="AT69" s="5">
        <f t="shared" si="26"/>
        <v>-18117.071455543864</v>
      </c>
      <c r="AU69" s="5">
        <f t="shared" si="27"/>
        <v>-12418.1786693146</v>
      </c>
      <c r="AV69" s="5">
        <f t="shared" si="44"/>
        <v>-5698.8927862292639</v>
      </c>
      <c r="AW69" s="5">
        <f t="shared" si="45"/>
        <v>3305815.4190309974</v>
      </c>
      <c r="AX69" s="199"/>
    </row>
    <row r="70" spans="1:50">
      <c r="A70" s="73"/>
      <c r="B70" s="572"/>
      <c r="C70" s="16">
        <f t="shared" ref="C70:C77" si="94">+C69</f>
        <v>5</v>
      </c>
      <c r="D70" s="17">
        <f t="shared" si="90"/>
        <v>5</v>
      </c>
      <c r="E70" s="18">
        <f t="shared" ca="1" si="47"/>
        <v>45992</v>
      </c>
      <c r="F70" s="10">
        <f>+VLOOKUP($C70,Dashboard!$S$4:$T$13,2,0)</f>
        <v>0.04</v>
      </c>
      <c r="G70" s="14">
        <f t="shared" si="28"/>
        <v>53</v>
      </c>
      <c r="H70" s="5">
        <f t="shared" si="29"/>
        <v>3443775.8781624371</v>
      </c>
      <c r="I70" s="5">
        <f t="shared" si="16"/>
        <v>-17903.073579954726</v>
      </c>
      <c r="J70" s="5">
        <f t="shared" si="17"/>
        <v>-11479.252927208123</v>
      </c>
      <c r="K70" s="5">
        <f t="shared" si="30"/>
        <v>-6423.8206527466027</v>
      </c>
      <c r="L70" s="5">
        <f t="shared" si="31"/>
        <v>3437352.0575096905</v>
      </c>
      <c r="M70" s="199"/>
      <c r="N70" s="16">
        <f t="shared" ca="1" si="32"/>
        <v>0</v>
      </c>
      <c r="O70" s="508">
        <f t="shared" ca="1" si="18"/>
        <v>0</v>
      </c>
      <c r="P70" s="16">
        <f t="shared" ca="1" si="19"/>
        <v>0</v>
      </c>
      <c r="Q70" s="17">
        <f t="shared" si="91"/>
        <v>5</v>
      </c>
      <c r="R70" s="18">
        <f t="shared" si="49"/>
        <v>41395</v>
      </c>
      <c r="S70" s="10">
        <f t="shared" si="33"/>
        <v>0.04</v>
      </c>
      <c r="T70" s="14" t="str">
        <f t="shared" ca="1" si="34"/>
        <v>I/O</v>
      </c>
      <c r="U70" s="5">
        <f t="shared" ca="1" si="35"/>
        <v>500000</v>
      </c>
      <c r="V70" s="5">
        <f t="shared" ca="1" si="20"/>
        <v>-1666.6666666666667</v>
      </c>
      <c r="W70" s="5">
        <f t="shared" ca="1" si="21"/>
        <v>-1666.6666666666667</v>
      </c>
      <c r="X70" s="5">
        <f t="shared" ca="1" si="36"/>
        <v>0</v>
      </c>
      <c r="Y70" s="5">
        <f t="shared" ca="1" si="37"/>
        <v>500000</v>
      </c>
      <c r="Z70" s="199"/>
      <c r="AA70" s="16">
        <f t="shared" ca="1" si="25"/>
        <v>5</v>
      </c>
      <c r="AB70" s="508">
        <f t="shared" ca="1" si="22"/>
        <v>52</v>
      </c>
      <c r="AC70" s="16">
        <f t="shared" ref="AC70:AC77" si="95">+AC69</f>
        <v>5</v>
      </c>
      <c r="AD70" s="17">
        <f t="shared" si="92"/>
        <v>5</v>
      </c>
      <c r="AE70" s="18">
        <f t="shared" ca="1" si="51"/>
        <v>45992</v>
      </c>
      <c r="AF70" s="10">
        <f>IF(Dashboard!$R$24="Float",AF69+Dashboard!$R$24/12,AF69)</f>
        <v>0.06</v>
      </c>
      <c r="AG70" s="14">
        <f t="shared" si="38"/>
        <v>53</v>
      </c>
      <c r="AH70" s="5">
        <f t="shared" si="39"/>
        <v>0</v>
      </c>
      <c r="AI70" s="5">
        <f t="shared" si="23"/>
        <v>0</v>
      </c>
      <c r="AJ70" s="5">
        <f t="shared" si="24"/>
        <v>0</v>
      </c>
      <c r="AK70" s="5">
        <f t="shared" si="40"/>
        <v>0</v>
      </c>
      <c r="AL70" s="5">
        <f t="shared" si="41"/>
        <v>0</v>
      </c>
      <c r="AM70" s="199"/>
      <c r="AN70" s="16">
        <f t="shared" ref="AN70:AN77" si="96">+AN69</f>
        <v>6</v>
      </c>
      <c r="AO70" s="17">
        <f t="shared" si="93"/>
        <v>5</v>
      </c>
      <c r="AP70" s="18">
        <f t="shared" ca="1" si="53"/>
        <v>45992</v>
      </c>
      <c r="AQ70" s="10">
        <f>IF(Dashboard!$S$20="Float",AQ69+Dashboard!$T$20/12,AQ69)</f>
        <v>4.4999999999999998E-2</v>
      </c>
      <c r="AR70" s="14">
        <f t="shared" si="42"/>
        <v>53</v>
      </c>
      <c r="AS70" s="5">
        <f t="shared" si="43"/>
        <v>3305815.4190309974</v>
      </c>
      <c r="AT70" s="5">
        <f t="shared" si="26"/>
        <v>-18117.071455543861</v>
      </c>
      <c r="AU70" s="5">
        <f t="shared" si="27"/>
        <v>-12396.807821366239</v>
      </c>
      <c r="AV70" s="5">
        <f t="shared" si="44"/>
        <v>-5720.2636341776215</v>
      </c>
      <c r="AW70" s="5">
        <f t="shared" si="45"/>
        <v>3300095.15539682</v>
      </c>
      <c r="AX70" s="199"/>
    </row>
    <row r="71" spans="1:50">
      <c r="A71" s="73"/>
      <c r="B71" s="572"/>
      <c r="C71" s="16">
        <f t="shared" si="94"/>
        <v>5</v>
      </c>
      <c r="D71" s="17">
        <f t="shared" si="90"/>
        <v>6</v>
      </c>
      <c r="E71" s="18">
        <f t="shared" ca="1" si="47"/>
        <v>46023</v>
      </c>
      <c r="F71" s="10">
        <f>+VLOOKUP($C71,Dashboard!$S$4:$T$13,2,0)</f>
        <v>0.04</v>
      </c>
      <c r="G71" s="14">
        <f t="shared" si="28"/>
        <v>54</v>
      </c>
      <c r="H71" s="5">
        <f t="shared" si="29"/>
        <v>3437352.0575096905</v>
      </c>
      <c r="I71" s="5">
        <f t="shared" si="16"/>
        <v>-17903.073579954729</v>
      </c>
      <c r="J71" s="5">
        <f t="shared" si="17"/>
        <v>-11457.840191698968</v>
      </c>
      <c r="K71" s="5">
        <f t="shared" si="30"/>
        <v>-6445.2333882557614</v>
      </c>
      <c r="L71" s="5">
        <f t="shared" si="31"/>
        <v>3430906.8241214347</v>
      </c>
      <c r="M71" s="199"/>
      <c r="N71" s="16">
        <f t="shared" ca="1" si="32"/>
        <v>0</v>
      </c>
      <c r="O71" s="508">
        <f t="shared" ca="1" si="18"/>
        <v>0</v>
      </c>
      <c r="P71" s="16">
        <f t="shared" ca="1" si="19"/>
        <v>0</v>
      </c>
      <c r="Q71" s="17">
        <f t="shared" si="91"/>
        <v>6</v>
      </c>
      <c r="R71" s="18">
        <f t="shared" si="49"/>
        <v>41426</v>
      </c>
      <c r="S71" s="10">
        <f t="shared" si="33"/>
        <v>0.04</v>
      </c>
      <c r="T71" s="14" t="str">
        <f t="shared" ca="1" si="34"/>
        <v>I/O</v>
      </c>
      <c r="U71" s="5">
        <f t="shared" ca="1" si="35"/>
        <v>500000</v>
      </c>
      <c r="V71" s="5">
        <f t="shared" ca="1" si="20"/>
        <v>-1666.6666666666667</v>
      </c>
      <c r="W71" s="5">
        <f t="shared" ca="1" si="21"/>
        <v>-1666.6666666666667</v>
      </c>
      <c r="X71" s="5">
        <f t="shared" ca="1" si="36"/>
        <v>0</v>
      </c>
      <c r="Y71" s="5">
        <f t="shared" ca="1" si="37"/>
        <v>500000</v>
      </c>
      <c r="Z71" s="199"/>
      <c r="AA71" s="16">
        <f t="shared" ca="1" si="25"/>
        <v>5</v>
      </c>
      <c r="AB71" s="508">
        <f t="shared" ca="1" si="22"/>
        <v>53</v>
      </c>
      <c r="AC71" s="16">
        <f t="shared" si="95"/>
        <v>5</v>
      </c>
      <c r="AD71" s="17">
        <f t="shared" si="92"/>
        <v>6</v>
      </c>
      <c r="AE71" s="18">
        <f t="shared" ca="1" si="51"/>
        <v>46023</v>
      </c>
      <c r="AF71" s="10">
        <f>IF(Dashboard!$R$24="Float",AF70+Dashboard!$R$24/12,AF70)</f>
        <v>0.06</v>
      </c>
      <c r="AG71" s="14">
        <f t="shared" si="38"/>
        <v>54</v>
      </c>
      <c r="AH71" s="5">
        <f t="shared" si="39"/>
        <v>0</v>
      </c>
      <c r="AI71" s="5">
        <f t="shared" si="23"/>
        <v>0</v>
      </c>
      <c r="AJ71" s="5">
        <f t="shared" si="24"/>
        <v>0</v>
      </c>
      <c r="AK71" s="5">
        <f t="shared" si="40"/>
        <v>0</v>
      </c>
      <c r="AL71" s="5">
        <f t="shared" si="41"/>
        <v>0</v>
      </c>
      <c r="AM71" s="199"/>
      <c r="AN71" s="16">
        <f t="shared" si="96"/>
        <v>6</v>
      </c>
      <c r="AO71" s="17">
        <f t="shared" si="93"/>
        <v>6</v>
      </c>
      <c r="AP71" s="18">
        <f t="shared" ca="1" si="53"/>
        <v>46023</v>
      </c>
      <c r="AQ71" s="10">
        <f>IF(Dashboard!$S$20="Float",AQ70+Dashboard!$T$20/12,AQ70)</f>
        <v>4.4999999999999998E-2</v>
      </c>
      <c r="AR71" s="14">
        <f t="shared" si="42"/>
        <v>54</v>
      </c>
      <c r="AS71" s="5">
        <f t="shared" si="43"/>
        <v>3300095.15539682</v>
      </c>
      <c r="AT71" s="5">
        <f t="shared" si="26"/>
        <v>-18117.071455543861</v>
      </c>
      <c r="AU71" s="5">
        <f t="shared" si="27"/>
        <v>-12375.356832738076</v>
      </c>
      <c r="AV71" s="5">
        <f t="shared" si="44"/>
        <v>-5741.7146228057845</v>
      </c>
      <c r="AW71" s="5">
        <f t="shared" si="45"/>
        <v>3294353.4407740142</v>
      </c>
      <c r="AX71" s="199"/>
    </row>
    <row r="72" spans="1:50">
      <c r="A72" s="73"/>
      <c r="B72" s="572"/>
      <c r="C72" s="16">
        <f t="shared" si="94"/>
        <v>5</v>
      </c>
      <c r="D72" s="17">
        <f t="shared" si="90"/>
        <v>7</v>
      </c>
      <c r="E72" s="18">
        <f t="shared" ca="1" si="47"/>
        <v>46054</v>
      </c>
      <c r="F72" s="10">
        <f>+VLOOKUP($C72,Dashboard!$S$4:$T$13,2,0)</f>
        <v>0.04</v>
      </c>
      <c r="G72" s="14">
        <f t="shared" si="28"/>
        <v>55</v>
      </c>
      <c r="H72" s="5">
        <f t="shared" si="29"/>
        <v>3430906.8241214347</v>
      </c>
      <c r="I72" s="5">
        <f t="shared" si="16"/>
        <v>-17903.073579954729</v>
      </c>
      <c r="J72" s="5">
        <f t="shared" si="17"/>
        <v>-11436.356080404783</v>
      </c>
      <c r="K72" s="5">
        <f t="shared" si="30"/>
        <v>-6466.7174995499463</v>
      </c>
      <c r="L72" s="5">
        <f t="shared" si="31"/>
        <v>3424440.1066218847</v>
      </c>
      <c r="M72" s="199"/>
      <c r="N72" s="16">
        <f t="shared" ca="1" si="32"/>
        <v>0</v>
      </c>
      <c r="O72" s="508">
        <f t="shared" ca="1" si="18"/>
        <v>0</v>
      </c>
      <c r="P72" s="16">
        <f t="shared" ca="1" si="19"/>
        <v>0</v>
      </c>
      <c r="Q72" s="17">
        <f t="shared" si="91"/>
        <v>7</v>
      </c>
      <c r="R72" s="18">
        <f t="shared" si="49"/>
        <v>41456</v>
      </c>
      <c r="S72" s="10">
        <f t="shared" si="33"/>
        <v>0.04</v>
      </c>
      <c r="T72" s="14" t="str">
        <f t="shared" ca="1" si="34"/>
        <v>I/O</v>
      </c>
      <c r="U72" s="5">
        <f t="shared" ca="1" si="35"/>
        <v>500000</v>
      </c>
      <c r="V72" s="5">
        <f t="shared" ca="1" si="20"/>
        <v>-1666.6666666666667</v>
      </c>
      <c r="W72" s="5">
        <f t="shared" ca="1" si="21"/>
        <v>-1666.6666666666667</v>
      </c>
      <c r="X72" s="5">
        <f t="shared" ca="1" si="36"/>
        <v>0</v>
      </c>
      <c r="Y72" s="5">
        <f t="shared" ca="1" si="37"/>
        <v>500000</v>
      </c>
      <c r="Z72" s="199"/>
      <c r="AA72" s="16">
        <f t="shared" ca="1" si="25"/>
        <v>5</v>
      </c>
      <c r="AB72" s="508">
        <f t="shared" ca="1" si="22"/>
        <v>54</v>
      </c>
      <c r="AC72" s="16">
        <f t="shared" si="95"/>
        <v>5</v>
      </c>
      <c r="AD72" s="17">
        <f t="shared" si="92"/>
        <v>7</v>
      </c>
      <c r="AE72" s="18">
        <f t="shared" ca="1" si="51"/>
        <v>46054</v>
      </c>
      <c r="AF72" s="10">
        <f>IF(Dashboard!$R$24="Float",AF71+Dashboard!$R$24/12,AF71)</f>
        <v>0.06</v>
      </c>
      <c r="AG72" s="14">
        <f t="shared" si="38"/>
        <v>55</v>
      </c>
      <c r="AH72" s="5">
        <f t="shared" si="39"/>
        <v>0</v>
      </c>
      <c r="AI72" s="5">
        <f t="shared" si="23"/>
        <v>0</v>
      </c>
      <c r="AJ72" s="5">
        <f t="shared" si="24"/>
        <v>0</v>
      </c>
      <c r="AK72" s="5">
        <f t="shared" si="40"/>
        <v>0</v>
      </c>
      <c r="AL72" s="5">
        <f t="shared" si="41"/>
        <v>0</v>
      </c>
      <c r="AM72" s="199"/>
      <c r="AN72" s="16">
        <f t="shared" si="96"/>
        <v>6</v>
      </c>
      <c r="AO72" s="17">
        <f t="shared" si="93"/>
        <v>7</v>
      </c>
      <c r="AP72" s="18">
        <f t="shared" ca="1" si="53"/>
        <v>46054</v>
      </c>
      <c r="AQ72" s="10">
        <f>IF(Dashboard!$S$20="Float",AQ71+Dashboard!$T$20/12,AQ71)</f>
        <v>4.4999999999999998E-2</v>
      </c>
      <c r="AR72" s="14">
        <f t="shared" si="42"/>
        <v>55</v>
      </c>
      <c r="AS72" s="5">
        <f t="shared" si="43"/>
        <v>3294353.4407740142</v>
      </c>
      <c r="AT72" s="5">
        <f t="shared" si="26"/>
        <v>-18117.071455543861</v>
      </c>
      <c r="AU72" s="5">
        <f t="shared" si="27"/>
        <v>-12353.825402902554</v>
      </c>
      <c r="AV72" s="5">
        <f t="shared" si="44"/>
        <v>-5763.246052641307</v>
      </c>
      <c r="AW72" s="5">
        <f t="shared" si="45"/>
        <v>3288590.1947213728</v>
      </c>
      <c r="AX72" s="199"/>
    </row>
    <row r="73" spans="1:50">
      <c r="A73" s="73"/>
      <c r="B73" s="572"/>
      <c r="C73" s="16">
        <f t="shared" si="94"/>
        <v>5</v>
      </c>
      <c r="D73" s="17">
        <f t="shared" si="90"/>
        <v>8</v>
      </c>
      <c r="E73" s="18">
        <f t="shared" ca="1" si="47"/>
        <v>46082</v>
      </c>
      <c r="F73" s="10">
        <f>+VLOOKUP($C73,Dashboard!$S$4:$T$13,2,0)</f>
        <v>0.04</v>
      </c>
      <c r="G73" s="14">
        <f t="shared" si="28"/>
        <v>56</v>
      </c>
      <c r="H73" s="5">
        <f t="shared" si="29"/>
        <v>3424440.1066218847</v>
      </c>
      <c r="I73" s="5">
        <f t="shared" si="16"/>
        <v>-17903.073579954729</v>
      </c>
      <c r="J73" s="5">
        <f t="shared" si="17"/>
        <v>-11414.800355406282</v>
      </c>
      <c r="K73" s="5">
        <f t="shared" si="30"/>
        <v>-6488.2732245484476</v>
      </c>
      <c r="L73" s="5">
        <f t="shared" si="31"/>
        <v>3417951.8333973363</v>
      </c>
      <c r="M73" s="199"/>
      <c r="N73" s="16">
        <f t="shared" ca="1" si="32"/>
        <v>0</v>
      </c>
      <c r="O73" s="508">
        <f t="shared" ca="1" si="18"/>
        <v>0</v>
      </c>
      <c r="P73" s="16">
        <f t="shared" ca="1" si="19"/>
        <v>0</v>
      </c>
      <c r="Q73" s="17">
        <f t="shared" si="91"/>
        <v>8</v>
      </c>
      <c r="R73" s="18">
        <f t="shared" si="49"/>
        <v>41487</v>
      </c>
      <c r="S73" s="10">
        <f t="shared" si="33"/>
        <v>0.04</v>
      </c>
      <c r="T73" s="14" t="str">
        <f t="shared" ca="1" si="34"/>
        <v>I/O</v>
      </c>
      <c r="U73" s="5">
        <f t="shared" ca="1" si="35"/>
        <v>500000</v>
      </c>
      <c r="V73" s="5">
        <f t="shared" ca="1" si="20"/>
        <v>-1666.6666666666667</v>
      </c>
      <c r="W73" s="5">
        <f t="shared" ca="1" si="21"/>
        <v>-1666.6666666666667</v>
      </c>
      <c r="X73" s="5">
        <f t="shared" ca="1" si="36"/>
        <v>0</v>
      </c>
      <c r="Y73" s="5">
        <f t="shared" ca="1" si="37"/>
        <v>500000</v>
      </c>
      <c r="Z73" s="199"/>
      <c r="AA73" s="16">
        <f t="shared" ca="1" si="25"/>
        <v>5</v>
      </c>
      <c r="AB73" s="508">
        <f t="shared" ca="1" si="22"/>
        <v>55</v>
      </c>
      <c r="AC73" s="16">
        <f t="shared" si="95"/>
        <v>5</v>
      </c>
      <c r="AD73" s="17">
        <f t="shared" si="92"/>
        <v>8</v>
      </c>
      <c r="AE73" s="18">
        <f t="shared" ca="1" si="51"/>
        <v>46082</v>
      </c>
      <c r="AF73" s="10">
        <f>IF(Dashboard!$R$24="Float",AF72+Dashboard!$R$24/12,AF72)</f>
        <v>0.06</v>
      </c>
      <c r="AG73" s="14">
        <f t="shared" si="38"/>
        <v>56</v>
      </c>
      <c r="AH73" s="5">
        <f t="shared" si="39"/>
        <v>0</v>
      </c>
      <c r="AI73" s="5">
        <f t="shared" si="23"/>
        <v>0</v>
      </c>
      <c r="AJ73" s="5">
        <f t="shared" si="24"/>
        <v>0</v>
      </c>
      <c r="AK73" s="5">
        <f t="shared" si="40"/>
        <v>0</v>
      </c>
      <c r="AL73" s="5">
        <f t="shared" si="41"/>
        <v>0</v>
      </c>
      <c r="AM73" s="199"/>
      <c r="AN73" s="16">
        <f t="shared" si="96"/>
        <v>6</v>
      </c>
      <c r="AO73" s="17">
        <f t="shared" si="93"/>
        <v>8</v>
      </c>
      <c r="AP73" s="18">
        <f t="shared" ca="1" si="53"/>
        <v>46082</v>
      </c>
      <c r="AQ73" s="10">
        <f>IF(Dashboard!$S$20="Float",AQ72+Dashboard!$T$20/12,AQ72)</f>
        <v>4.4999999999999998E-2</v>
      </c>
      <c r="AR73" s="14">
        <f t="shared" si="42"/>
        <v>56</v>
      </c>
      <c r="AS73" s="5">
        <f t="shared" si="43"/>
        <v>3288590.1947213728</v>
      </c>
      <c r="AT73" s="5">
        <f t="shared" si="26"/>
        <v>-18117.071455543861</v>
      </c>
      <c r="AU73" s="5">
        <f t="shared" si="27"/>
        <v>-12332.213230205147</v>
      </c>
      <c r="AV73" s="5">
        <f t="shared" si="44"/>
        <v>-5784.858225338714</v>
      </c>
      <c r="AW73" s="5">
        <f t="shared" si="45"/>
        <v>3282805.3364960342</v>
      </c>
      <c r="AX73" s="199"/>
    </row>
    <row r="74" spans="1:50">
      <c r="A74" s="73"/>
      <c r="B74" s="572"/>
      <c r="C74" s="16">
        <f t="shared" si="94"/>
        <v>5</v>
      </c>
      <c r="D74" s="17">
        <f t="shared" si="90"/>
        <v>9</v>
      </c>
      <c r="E74" s="18">
        <f t="shared" ca="1" si="47"/>
        <v>46113</v>
      </c>
      <c r="F74" s="10">
        <f>+VLOOKUP($C74,Dashboard!$S$4:$T$13,2,0)</f>
        <v>0.04</v>
      </c>
      <c r="G74" s="14">
        <f t="shared" si="28"/>
        <v>57</v>
      </c>
      <c r="H74" s="5">
        <f t="shared" si="29"/>
        <v>3417951.8333973363</v>
      </c>
      <c r="I74" s="5">
        <f t="shared" si="16"/>
        <v>-17903.073579954729</v>
      </c>
      <c r="J74" s="5">
        <f t="shared" si="17"/>
        <v>-11393.172777991122</v>
      </c>
      <c r="K74" s="5">
        <f t="shared" si="30"/>
        <v>-6509.9008019636076</v>
      </c>
      <c r="L74" s="5">
        <f t="shared" si="31"/>
        <v>3411441.9325953727</v>
      </c>
      <c r="M74" s="199"/>
      <c r="N74" s="16">
        <f t="shared" ca="1" si="32"/>
        <v>0</v>
      </c>
      <c r="O74" s="508">
        <f t="shared" ca="1" si="18"/>
        <v>0</v>
      </c>
      <c r="P74" s="16">
        <f t="shared" ca="1" si="19"/>
        <v>0</v>
      </c>
      <c r="Q74" s="17">
        <f t="shared" si="91"/>
        <v>9</v>
      </c>
      <c r="R74" s="18">
        <f t="shared" si="49"/>
        <v>41518</v>
      </c>
      <c r="S74" s="10">
        <f t="shared" si="33"/>
        <v>0.04</v>
      </c>
      <c r="T74" s="14" t="str">
        <f t="shared" ca="1" si="34"/>
        <v>I/O</v>
      </c>
      <c r="U74" s="5">
        <f t="shared" ca="1" si="35"/>
        <v>500000</v>
      </c>
      <c r="V74" s="5">
        <f t="shared" ca="1" si="20"/>
        <v>-1666.6666666666667</v>
      </c>
      <c r="W74" s="5">
        <f t="shared" ca="1" si="21"/>
        <v>-1666.6666666666667</v>
      </c>
      <c r="X74" s="5">
        <f t="shared" ca="1" si="36"/>
        <v>0</v>
      </c>
      <c r="Y74" s="5">
        <f t="shared" ca="1" si="37"/>
        <v>500000</v>
      </c>
      <c r="Z74" s="199"/>
      <c r="AA74" s="16">
        <f t="shared" ca="1" si="25"/>
        <v>5</v>
      </c>
      <c r="AB74" s="508">
        <f t="shared" ca="1" si="22"/>
        <v>56</v>
      </c>
      <c r="AC74" s="16">
        <f t="shared" si="95"/>
        <v>5</v>
      </c>
      <c r="AD74" s="17">
        <f t="shared" si="92"/>
        <v>9</v>
      </c>
      <c r="AE74" s="18">
        <f t="shared" ca="1" si="51"/>
        <v>46113</v>
      </c>
      <c r="AF74" s="10">
        <f>IF(Dashboard!$R$24="Float",AF73+Dashboard!$R$24/12,AF73)</f>
        <v>0.06</v>
      </c>
      <c r="AG74" s="14">
        <f t="shared" si="38"/>
        <v>57</v>
      </c>
      <c r="AH74" s="5">
        <f t="shared" si="39"/>
        <v>0</v>
      </c>
      <c r="AI74" s="5">
        <f t="shared" si="23"/>
        <v>0</v>
      </c>
      <c r="AJ74" s="5">
        <f t="shared" si="24"/>
        <v>0</v>
      </c>
      <c r="AK74" s="5">
        <f t="shared" si="40"/>
        <v>0</v>
      </c>
      <c r="AL74" s="5">
        <f t="shared" si="41"/>
        <v>0</v>
      </c>
      <c r="AM74" s="199"/>
      <c r="AN74" s="16">
        <f t="shared" si="96"/>
        <v>6</v>
      </c>
      <c r="AO74" s="17">
        <f t="shared" si="93"/>
        <v>9</v>
      </c>
      <c r="AP74" s="18">
        <f t="shared" ca="1" si="53"/>
        <v>46113</v>
      </c>
      <c r="AQ74" s="10">
        <f>IF(Dashboard!$S$20="Float",AQ73+Dashboard!$T$20/12,AQ73)</f>
        <v>4.4999999999999998E-2</v>
      </c>
      <c r="AR74" s="14">
        <f t="shared" si="42"/>
        <v>57</v>
      </c>
      <c r="AS74" s="5">
        <f t="shared" si="43"/>
        <v>3282805.3364960342</v>
      </c>
      <c r="AT74" s="5">
        <f t="shared" si="26"/>
        <v>-18117.071455543861</v>
      </c>
      <c r="AU74" s="5">
        <f t="shared" si="27"/>
        <v>-12310.520011860128</v>
      </c>
      <c r="AV74" s="5">
        <f t="shared" si="44"/>
        <v>-5806.5514436837329</v>
      </c>
      <c r="AW74" s="5">
        <f t="shared" si="45"/>
        <v>3276998.7850523503</v>
      </c>
      <c r="AX74" s="199"/>
    </row>
    <row r="75" spans="1:50">
      <c r="A75" s="73"/>
      <c r="B75" s="572"/>
      <c r="C75" s="16">
        <f t="shared" si="94"/>
        <v>5</v>
      </c>
      <c r="D75" s="17">
        <f t="shared" si="90"/>
        <v>10</v>
      </c>
      <c r="E75" s="18">
        <f t="shared" ca="1" si="47"/>
        <v>46143</v>
      </c>
      <c r="F75" s="10">
        <f>+VLOOKUP($C75,Dashboard!$S$4:$T$13,2,0)</f>
        <v>0.04</v>
      </c>
      <c r="G75" s="14">
        <f t="shared" si="28"/>
        <v>58</v>
      </c>
      <c r="H75" s="5">
        <f t="shared" si="29"/>
        <v>3411441.9325953727</v>
      </c>
      <c r="I75" s="5">
        <f t="shared" si="16"/>
        <v>-17903.073579954733</v>
      </c>
      <c r="J75" s="5">
        <f t="shared" si="17"/>
        <v>-11371.473108651242</v>
      </c>
      <c r="K75" s="5">
        <f t="shared" si="30"/>
        <v>-6531.6004713034908</v>
      </c>
      <c r="L75" s="5">
        <f t="shared" si="31"/>
        <v>3404910.3321240693</v>
      </c>
      <c r="M75" s="199"/>
      <c r="N75" s="16">
        <f t="shared" ca="1" si="32"/>
        <v>0</v>
      </c>
      <c r="O75" s="508">
        <f t="shared" ca="1" si="18"/>
        <v>0</v>
      </c>
      <c r="P75" s="16">
        <f t="shared" ca="1" si="19"/>
        <v>0</v>
      </c>
      <c r="Q75" s="17">
        <f t="shared" si="91"/>
        <v>10</v>
      </c>
      <c r="R75" s="18">
        <f t="shared" si="49"/>
        <v>41548</v>
      </c>
      <c r="S75" s="10">
        <f t="shared" si="33"/>
        <v>0.04</v>
      </c>
      <c r="T75" s="14" t="str">
        <f t="shared" ca="1" si="34"/>
        <v>I/O</v>
      </c>
      <c r="U75" s="5">
        <f t="shared" ca="1" si="35"/>
        <v>500000</v>
      </c>
      <c r="V75" s="5">
        <f t="shared" ca="1" si="20"/>
        <v>-1666.6666666666667</v>
      </c>
      <c r="W75" s="5">
        <f t="shared" ca="1" si="21"/>
        <v>-1666.6666666666667</v>
      </c>
      <c r="X75" s="5">
        <f t="shared" ca="1" si="36"/>
        <v>0</v>
      </c>
      <c r="Y75" s="5">
        <f t="shared" ca="1" si="37"/>
        <v>500000</v>
      </c>
      <c r="Z75" s="199"/>
      <c r="AA75" s="16">
        <f t="shared" ca="1" si="25"/>
        <v>5</v>
      </c>
      <c r="AB75" s="508">
        <f t="shared" ca="1" si="22"/>
        <v>57</v>
      </c>
      <c r="AC75" s="16">
        <f t="shared" si="95"/>
        <v>5</v>
      </c>
      <c r="AD75" s="17">
        <f t="shared" si="92"/>
        <v>10</v>
      </c>
      <c r="AE75" s="18">
        <f t="shared" ca="1" si="51"/>
        <v>46143</v>
      </c>
      <c r="AF75" s="10">
        <f>IF(Dashboard!$R$24="Float",AF74+Dashboard!$R$24/12,AF74)</f>
        <v>0.06</v>
      </c>
      <c r="AG75" s="14">
        <f t="shared" si="38"/>
        <v>58</v>
      </c>
      <c r="AH75" s="5">
        <f t="shared" si="39"/>
        <v>0</v>
      </c>
      <c r="AI75" s="5">
        <f t="shared" si="23"/>
        <v>0</v>
      </c>
      <c r="AJ75" s="5">
        <f t="shared" si="24"/>
        <v>0</v>
      </c>
      <c r="AK75" s="5">
        <f t="shared" si="40"/>
        <v>0</v>
      </c>
      <c r="AL75" s="5">
        <f t="shared" si="41"/>
        <v>0</v>
      </c>
      <c r="AM75" s="199"/>
      <c r="AN75" s="16">
        <f t="shared" si="96"/>
        <v>6</v>
      </c>
      <c r="AO75" s="17">
        <f t="shared" si="93"/>
        <v>10</v>
      </c>
      <c r="AP75" s="18">
        <f t="shared" ca="1" si="53"/>
        <v>46143</v>
      </c>
      <c r="AQ75" s="10">
        <f>IF(Dashboard!$S$20="Float",AQ74+Dashboard!$T$20/12,AQ74)</f>
        <v>4.4999999999999998E-2</v>
      </c>
      <c r="AR75" s="14">
        <f t="shared" si="42"/>
        <v>58</v>
      </c>
      <c r="AS75" s="5">
        <f t="shared" si="43"/>
        <v>3276998.7850523503</v>
      </c>
      <c r="AT75" s="5">
        <f t="shared" si="26"/>
        <v>-18117.071455543861</v>
      </c>
      <c r="AU75" s="5">
        <f t="shared" si="27"/>
        <v>-12288.745443946313</v>
      </c>
      <c r="AV75" s="5">
        <f t="shared" si="44"/>
        <v>-5828.3260115975481</v>
      </c>
      <c r="AW75" s="5">
        <f t="shared" si="45"/>
        <v>3271170.4590407526</v>
      </c>
      <c r="AX75" s="199"/>
    </row>
    <row r="76" spans="1:50">
      <c r="A76" s="73"/>
      <c r="B76" s="572"/>
      <c r="C76" s="16">
        <f t="shared" si="94"/>
        <v>5</v>
      </c>
      <c r="D76" s="17">
        <f t="shared" si="90"/>
        <v>11</v>
      </c>
      <c r="E76" s="18">
        <f t="shared" ca="1" si="47"/>
        <v>46174</v>
      </c>
      <c r="F76" s="10">
        <f>+VLOOKUP($C76,Dashboard!$S$4:$T$13,2,0)</f>
        <v>0.04</v>
      </c>
      <c r="G76" s="14">
        <f t="shared" si="28"/>
        <v>59</v>
      </c>
      <c r="H76" s="5">
        <f t="shared" si="29"/>
        <v>3404910.3321240693</v>
      </c>
      <c r="I76" s="5">
        <f t="shared" si="16"/>
        <v>-17903.073579954729</v>
      </c>
      <c r="J76" s="5">
        <f t="shared" si="17"/>
        <v>-11349.701107080231</v>
      </c>
      <c r="K76" s="5">
        <f t="shared" si="30"/>
        <v>-6553.3724728744983</v>
      </c>
      <c r="L76" s="5">
        <f t="shared" si="31"/>
        <v>3398356.959651195</v>
      </c>
      <c r="M76" s="199"/>
      <c r="N76" s="16">
        <f t="shared" ca="1" si="32"/>
        <v>0</v>
      </c>
      <c r="O76" s="508">
        <f t="shared" ca="1" si="18"/>
        <v>0</v>
      </c>
      <c r="P76" s="16">
        <f t="shared" ca="1" si="19"/>
        <v>0</v>
      </c>
      <c r="Q76" s="17">
        <f t="shared" si="91"/>
        <v>11</v>
      </c>
      <c r="R76" s="18">
        <f t="shared" si="49"/>
        <v>41579</v>
      </c>
      <c r="S76" s="10">
        <f t="shared" si="33"/>
        <v>0.04</v>
      </c>
      <c r="T76" s="14" t="str">
        <f t="shared" ca="1" si="34"/>
        <v>I/O</v>
      </c>
      <c r="U76" s="5">
        <f t="shared" ca="1" si="35"/>
        <v>500000</v>
      </c>
      <c r="V76" s="5">
        <f t="shared" ca="1" si="20"/>
        <v>-1666.6666666666667</v>
      </c>
      <c r="W76" s="5">
        <f t="shared" ca="1" si="21"/>
        <v>-1666.6666666666667</v>
      </c>
      <c r="X76" s="5">
        <f t="shared" ca="1" si="36"/>
        <v>0</v>
      </c>
      <c r="Y76" s="5">
        <f t="shared" ca="1" si="37"/>
        <v>500000</v>
      </c>
      <c r="Z76" s="199"/>
      <c r="AA76" s="16">
        <f t="shared" ca="1" si="25"/>
        <v>5</v>
      </c>
      <c r="AB76" s="508">
        <f t="shared" ca="1" si="22"/>
        <v>58</v>
      </c>
      <c r="AC76" s="16">
        <f t="shared" si="95"/>
        <v>5</v>
      </c>
      <c r="AD76" s="17">
        <f t="shared" si="92"/>
        <v>11</v>
      </c>
      <c r="AE76" s="18">
        <f t="shared" ca="1" si="51"/>
        <v>46174</v>
      </c>
      <c r="AF76" s="10">
        <f>IF(Dashboard!$R$24="Float",AF75+Dashboard!$R$24/12,AF75)</f>
        <v>0.06</v>
      </c>
      <c r="AG76" s="14">
        <f t="shared" si="38"/>
        <v>59</v>
      </c>
      <c r="AH76" s="5">
        <f t="shared" si="39"/>
        <v>0</v>
      </c>
      <c r="AI76" s="5">
        <f t="shared" si="23"/>
        <v>0</v>
      </c>
      <c r="AJ76" s="5">
        <f t="shared" si="24"/>
        <v>0</v>
      </c>
      <c r="AK76" s="5">
        <f t="shared" si="40"/>
        <v>0</v>
      </c>
      <c r="AL76" s="5">
        <f t="shared" si="41"/>
        <v>0</v>
      </c>
      <c r="AM76" s="199"/>
      <c r="AN76" s="16">
        <f t="shared" si="96"/>
        <v>6</v>
      </c>
      <c r="AO76" s="17">
        <f t="shared" si="93"/>
        <v>11</v>
      </c>
      <c r="AP76" s="18">
        <f t="shared" ca="1" si="53"/>
        <v>46174</v>
      </c>
      <c r="AQ76" s="10">
        <f>IF(Dashboard!$S$20="Float",AQ75+Dashboard!$T$20/12,AQ75)</f>
        <v>4.4999999999999998E-2</v>
      </c>
      <c r="AR76" s="14">
        <f t="shared" si="42"/>
        <v>59</v>
      </c>
      <c r="AS76" s="5">
        <f t="shared" si="43"/>
        <v>3271170.4590407526</v>
      </c>
      <c r="AT76" s="5">
        <f t="shared" si="26"/>
        <v>-18117.071455543857</v>
      </c>
      <c r="AU76" s="5">
        <f t="shared" si="27"/>
        <v>-12266.889221402822</v>
      </c>
      <c r="AV76" s="5">
        <f t="shared" si="44"/>
        <v>-5850.1822341410352</v>
      </c>
      <c r="AW76" s="5">
        <f t="shared" si="45"/>
        <v>3265320.2768066116</v>
      </c>
      <c r="AX76" s="199"/>
    </row>
    <row r="77" spans="1:50">
      <c r="A77" s="73"/>
      <c r="B77" s="572"/>
      <c r="C77" s="16">
        <f t="shared" si="94"/>
        <v>5</v>
      </c>
      <c r="D77" s="17">
        <f t="shared" si="90"/>
        <v>12</v>
      </c>
      <c r="E77" s="18">
        <f t="shared" ca="1" si="47"/>
        <v>46204</v>
      </c>
      <c r="F77" s="10">
        <f>+VLOOKUP($C77,Dashboard!$S$4:$T$13,2,0)</f>
        <v>0.04</v>
      </c>
      <c r="G77" s="14">
        <f t="shared" si="28"/>
        <v>60</v>
      </c>
      <c r="H77" s="5">
        <f t="shared" si="29"/>
        <v>3398356.959651195</v>
      </c>
      <c r="I77" s="5">
        <f t="shared" si="16"/>
        <v>-17903.073579954729</v>
      </c>
      <c r="J77" s="5">
        <f t="shared" si="17"/>
        <v>-11327.85653217065</v>
      </c>
      <c r="K77" s="5">
        <f t="shared" si="30"/>
        <v>-6575.2170477840791</v>
      </c>
      <c r="L77" s="5">
        <f t="shared" si="31"/>
        <v>3391781.742603411</v>
      </c>
      <c r="M77" s="199"/>
      <c r="N77" s="16">
        <f t="shared" ca="1" si="32"/>
        <v>0</v>
      </c>
      <c r="O77" s="508">
        <f t="shared" ca="1" si="18"/>
        <v>0</v>
      </c>
      <c r="P77" s="16">
        <f t="shared" ca="1" si="19"/>
        <v>0</v>
      </c>
      <c r="Q77" s="17">
        <f t="shared" si="91"/>
        <v>12</v>
      </c>
      <c r="R77" s="18">
        <f t="shared" si="49"/>
        <v>41609</v>
      </c>
      <c r="S77" s="10">
        <f t="shared" si="33"/>
        <v>0.04</v>
      </c>
      <c r="T77" s="14" t="str">
        <f t="shared" ca="1" si="34"/>
        <v>I/O</v>
      </c>
      <c r="U77" s="5">
        <f t="shared" ca="1" si="35"/>
        <v>500000</v>
      </c>
      <c r="V77" s="5">
        <f t="shared" ca="1" si="20"/>
        <v>-1666.6666666666667</v>
      </c>
      <c r="W77" s="5">
        <f t="shared" ca="1" si="21"/>
        <v>-1666.6666666666667</v>
      </c>
      <c r="X77" s="5">
        <f t="shared" ca="1" si="36"/>
        <v>0</v>
      </c>
      <c r="Y77" s="5">
        <f t="shared" ca="1" si="37"/>
        <v>500000</v>
      </c>
      <c r="Z77" s="199"/>
      <c r="AA77" s="16">
        <f t="shared" ca="1" si="25"/>
        <v>5</v>
      </c>
      <c r="AB77" s="508">
        <f t="shared" ca="1" si="22"/>
        <v>59</v>
      </c>
      <c r="AC77" s="16">
        <f t="shared" si="95"/>
        <v>5</v>
      </c>
      <c r="AD77" s="17">
        <f t="shared" si="92"/>
        <v>12</v>
      </c>
      <c r="AE77" s="18">
        <f t="shared" ca="1" si="51"/>
        <v>46204</v>
      </c>
      <c r="AF77" s="10">
        <f>IF(Dashboard!$R$24="Float",AF76+Dashboard!$R$24/12,AF76)</f>
        <v>0.06</v>
      </c>
      <c r="AG77" s="14">
        <f t="shared" si="38"/>
        <v>60</v>
      </c>
      <c r="AH77" s="5">
        <f t="shared" si="39"/>
        <v>0</v>
      </c>
      <c r="AI77" s="5">
        <f t="shared" si="23"/>
        <v>0</v>
      </c>
      <c r="AJ77" s="5">
        <f t="shared" si="24"/>
        <v>0</v>
      </c>
      <c r="AK77" s="5">
        <f t="shared" si="40"/>
        <v>0</v>
      </c>
      <c r="AL77" s="5">
        <f t="shared" si="41"/>
        <v>0</v>
      </c>
      <c r="AM77" s="199"/>
      <c r="AN77" s="16">
        <f t="shared" si="96"/>
        <v>6</v>
      </c>
      <c r="AO77" s="17">
        <f t="shared" si="93"/>
        <v>12</v>
      </c>
      <c r="AP77" s="18">
        <f t="shared" ca="1" si="53"/>
        <v>46204</v>
      </c>
      <c r="AQ77" s="10">
        <f>IF(Dashboard!$S$20="Float",AQ76+Dashboard!$T$20/12,AQ76)</f>
        <v>4.4999999999999998E-2</v>
      </c>
      <c r="AR77" s="14">
        <f t="shared" si="42"/>
        <v>60</v>
      </c>
      <c r="AS77" s="5">
        <f t="shared" si="43"/>
        <v>3265320.2768066116</v>
      </c>
      <c r="AT77" s="5">
        <f t="shared" si="26"/>
        <v>-18117.071455543861</v>
      </c>
      <c r="AU77" s="5">
        <f t="shared" si="27"/>
        <v>-12244.951038024794</v>
      </c>
      <c r="AV77" s="5">
        <f t="shared" si="44"/>
        <v>-5872.1204175190669</v>
      </c>
      <c r="AW77" s="5">
        <f t="shared" si="45"/>
        <v>3259448.1563890926</v>
      </c>
      <c r="AX77" s="199"/>
    </row>
    <row r="78" spans="1:50" ht="12.75" customHeight="1">
      <c r="A78" s="73"/>
      <c r="B78" s="570">
        <f>+C78</f>
        <v>6</v>
      </c>
      <c r="C78" s="200">
        <f t="shared" ref="C78" si="97">+C77+1</f>
        <v>6</v>
      </c>
      <c r="D78" s="201">
        <v>1</v>
      </c>
      <c r="E78" s="202">
        <f t="shared" ca="1" si="47"/>
        <v>46235</v>
      </c>
      <c r="F78" s="203">
        <f>+VLOOKUP($C78,Dashboard!$S$4:$T$13,2,0)</f>
        <v>0.04</v>
      </c>
      <c r="G78" s="204">
        <f t="shared" si="28"/>
        <v>61</v>
      </c>
      <c r="H78" s="205">
        <f t="shared" si="29"/>
        <v>3391781.742603411</v>
      </c>
      <c r="I78" s="205">
        <f t="shared" si="16"/>
        <v>-17903.073579954736</v>
      </c>
      <c r="J78" s="205">
        <f t="shared" si="17"/>
        <v>-11305.93914201137</v>
      </c>
      <c r="K78" s="205">
        <f t="shared" si="30"/>
        <v>-6597.1344379433667</v>
      </c>
      <c r="L78" s="205">
        <f t="shared" si="31"/>
        <v>3385184.6081654676</v>
      </c>
      <c r="M78" s="199"/>
      <c r="N78" s="200">
        <f t="shared" ca="1" si="32"/>
        <v>0</v>
      </c>
      <c r="O78" s="509">
        <f t="shared" ca="1" si="18"/>
        <v>0</v>
      </c>
      <c r="P78" s="200">
        <f t="shared" ca="1" si="19"/>
        <v>0</v>
      </c>
      <c r="Q78" s="201">
        <v>1</v>
      </c>
      <c r="R78" s="202">
        <f t="shared" si="49"/>
        <v>41640</v>
      </c>
      <c r="S78" s="203">
        <f t="shared" si="33"/>
        <v>0.04</v>
      </c>
      <c r="T78" s="204" t="str">
        <f t="shared" ca="1" si="34"/>
        <v>I/O</v>
      </c>
      <c r="U78" s="205">
        <f t="shared" ca="1" si="35"/>
        <v>500000</v>
      </c>
      <c r="V78" s="205">
        <f t="shared" ca="1" si="20"/>
        <v>-1666.6666666666667</v>
      </c>
      <c r="W78" s="205">
        <f t="shared" ca="1" si="21"/>
        <v>-1666.6666666666667</v>
      </c>
      <c r="X78" s="205">
        <f t="shared" ca="1" si="36"/>
        <v>0</v>
      </c>
      <c r="Y78" s="205">
        <f t="shared" ca="1" si="37"/>
        <v>500000</v>
      </c>
      <c r="Z78" s="199"/>
      <c r="AA78" s="200">
        <f t="shared" ca="1" si="25"/>
        <v>5</v>
      </c>
      <c r="AB78" s="509">
        <f t="shared" ca="1" si="22"/>
        <v>60</v>
      </c>
      <c r="AC78" s="200">
        <f t="shared" ref="AC78" si="98">+AC77+1</f>
        <v>6</v>
      </c>
      <c r="AD78" s="201">
        <v>1</v>
      </c>
      <c r="AE78" s="202">
        <f t="shared" ca="1" si="51"/>
        <v>46235</v>
      </c>
      <c r="AF78" s="203">
        <f>IF(Dashboard!$R$24="Float",AF77+Dashboard!$R$24/12,AF77)</f>
        <v>0.06</v>
      </c>
      <c r="AG78" s="204">
        <f t="shared" si="38"/>
        <v>61</v>
      </c>
      <c r="AH78" s="205">
        <f t="shared" si="39"/>
        <v>0</v>
      </c>
      <c r="AI78" s="205">
        <f t="shared" si="23"/>
        <v>0</v>
      </c>
      <c r="AJ78" s="205">
        <f t="shared" si="24"/>
        <v>0</v>
      </c>
      <c r="AK78" s="205">
        <f t="shared" si="40"/>
        <v>0</v>
      </c>
      <c r="AL78" s="205">
        <f t="shared" si="41"/>
        <v>0</v>
      </c>
      <c r="AM78" s="199"/>
      <c r="AN78" s="200">
        <f t="shared" ref="AN78" si="99">+AN77+1</f>
        <v>7</v>
      </c>
      <c r="AO78" s="201">
        <v>1</v>
      </c>
      <c r="AP78" s="202">
        <f t="shared" ca="1" si="53"/>
        <v>46235</v>
      </c>
      <c r="AQ78" s="203">
        <f>IF(Dashboard!$S$20="Float",AQ77+Dashboard!$T$20/12,AQ77)</f>
        <v>4.4999999999999998E-2</v>
      </c>
      <c r="AR78" s="204">
        <f t="shared" si="42"/>
        <v>61</v>
      </c>
      <c r="AS78" s="205">
        <f t="shared" si="43"/>
        <v>3259448.1563890926</v>
      </c>
      <c r="AT78" s="205">
        <f t="shared" si="26"/>
        <v>-18117.071455543857</v>
      </c>
      <c r="AU78" s="205">
        <f t="shared" si="27"/>
        <v>-12222.930586459095</v>
      </c>
      <c r="AV78" s="205">
        <f t="shared" si="44"/>
        <v>-5894.140869084762</v>
      </c>
      <c r="AW78" s="205">
        <f t="shared" si="45"/>
        <v>3253554.0155200078</v>
      </c>
      <c r="AX78" s="199"/>
    </row>
    <row r="79" spans="1:50">
      <c r="A79" s="73"/>
      <c r="B79" s="570"/>
      <c r="C79" s="200">
        <f>+C78</f>
        <v>6</v>
      </c>
      <c r="D79" s="201">
        <f>+D78+1</f>
        <v>2</v>
      </c>
      <c r="E79" s="202">
        <f t="shared" ca="1" si="47"/>
        <v>46266</v>
      </c>
      <c r="F79" s="203">
        <f>+VLOOKUP($C79,Dashboard!$S$4:$T$13,2,0)</f>
        <v>0.04</v>
      </c>
      <c r="G79" s="204">
        <f t="shared" si="28"/>
        <v>62</v>
      </c>
      <c r="H79" s="205">
        <f t="shared" si="29"/>
        <v>3385184.6081654676</v>
      </c>
      <c r="I79" s="205">
        <f t="shared" si="16"/>
        <v>-17903.073579954729</v>
      </c>
      <c r="J79" s="205">
        <f t="shared" si="17"/>
        <v>-11283.948693884893</v>
      </c>
      <c r="K79" s="205">
        <f t="shared" si="30"/>
        <v>-6619.1248860698361</v>
      </c>
      <c r="L79" s="205">
        <f t="shared" si="31"/>
        <v>3378565.4832793977</v>
      </c>
      <c r="M79" s="199"/>
      <c r="N79" s="200">
        <f t="shared" ca="1" si="32"/>
        <v>0</v>
      </c>
      <c r="O79" s="509">
        <f t="shared" ca="1" si="18"/>
        <v>0</v>
      </c>
      <c r="P79" s="200">
        <f t="shared" ca="1" si="19"/>
        <v>0</v>
      </c>
      <c r="Q79" s="201">
        <f>+Q78+1</f>
        <v>2</v>
      </c>
      <c r="R79" s="202">
        <f t="shared" si="49"/>
        <v>41671</v>
      </c>
      <c r="S79" s="203">
        <f t="shared" si="33"/>
        <v>0.04</v>
      </c>
      <c r="T79" s="204" t="str">
        <f t="shared" ca="1" si="34"/>
        <v>I/O</v>
      </c>
      <c r="U79" s="205">
        <f t="shared" ca="1" si="35"/>
        <v>500000</v>
      </c>
      <c r="V79" s="205">
        <f t="shared" ca="1" si="20"/>
        <v>-1666.6666666666667</v>
      </c>
      <c r="W79" s="205">
        <f t="shared" ca="1" si="21"/>
        <v>-1666.6666666666667</v>
      </c>
      <c r="X79" s="205">
        <f t="shared" ca="1" si="36"/>
        <v>0</v>
      </c>
      <c r="Y79" s="205">
        <f t="shared" ca="1" si="37"/>
        <v>500000</v>
      </c>
      <c r="Z79" s="199"/>
      <c r="AA79" s="200">
        <f t="shared" ca="1" si="25"/>
        <v>6</v>
      </c>
      <c r="AB79" s="509">
        <f t="shared" ca="1" si="22"/>
        <v>61</v>
      </c>
      <c r="AC79" s="200">
        <f>+AC78</f>
        <v>6</v>
      </c>
      <c r="AD79" s="201">
        <f>+AD78+1</f>
        <v>2</v>
      </c>
      <c r="AE79" s="202">
        <f t="shared" ca="1" si="51"/>
        <v>46266</v>
      </c>
      <c r="AF79" s="203">
        <f>IF(Dashboard!$R$24="Float",AF78+Dashboard!$R$24/12,AF78)</f>
        <v>0.06</v>
      </c>
      <c r="AG79" s="204">
        <f t="shared" si="38"/>
        <v>62</v>
      </c>
      <c r="AH79" s="205">
        <f t="shared" si="39"/>
        <v>0</v>
      </c>
      <c r="AI79" s="205">
        <f t="shared" si="23"/>
        <v>0</v>
      </c>
      <c r="AJ79" s="205">
        <f t="shared" si="24"/>
        <v>0</v>
      </c>
      <c r="AK79" s="205">
        <f t="shared" si="40"/>
        <v>0</v>
      </c>
      <c r="AL79" s="205">
        <f t="shared" si="41"/>
        <v>0</v>
      </c>
      <c r="AM79" s="199"/>
      <c r="AN79" s="200">
        <f>+AN78</f>
        <v>7</v>
      </c>
      <c r="AO79" s="201">
        <f>+AO78+1</f>
        <v>2</v>
      </c>
      <c r="AP79" s="202">
        <f t="shared" ca="1" si="53"/>
        <v>46266</v>
      </c>
      <c r="AQ79" s="203">
        <f>IF(Dashboard!$S$20="Float",AQ78+Dashboard!$T$20/12,AQ78)</f>
        <v>4.4999999999999998E-2</v>
      </c>
      <c r="AR79" s="204">
        <f t="shared" si="42"/>
        <v>62</v>
      </c>
      <c r="AS79" s="205">
        <f t="shared" si="43"/>
        <v>3253554.0155200078</v>
      </c>
      <c r="AT79" s="205">
        <f t="shared" si="26"/>
        <v>-18117.071455543861</v>
      </c>
      <c r="AU79" s="205">
        <f t="shared" si="27"/>
        <v>-12200.827558200028</v>
      </c>
      <c r="AV79" s="205">
        <f t="shared" si="44"/>
        <v>-5916.2438973438329</v>
      </c>
      <c r="AW79" s="205">
        <f t="shared" si="45"/>
        <v>3247637.7716226638</v>
      </c>
      <c r="AX79" s="199"/>
    </row>
    <row r="80" spans="1:50">
      <c r="A80" s="73"/>
      <c r="B80" s="570"/>
      <c r="C80" s="200">
        <f>+C79</f>
        <v>6</v>
      </c>
      <c r="D80" s="201">
        <f>+D79+1</f>
        <v>3</v>
      </c>
      <c r="E80" s="202">
        <f t="shared" ca="1" si="47"/>
        <v>46296</v>
      </c>
      <c r="F80" s="203">
        <f>+VLOOKUP($C80,Dashboard!$S$4:$T$13,2,0)</f>
        <v>0.04</v>
      </c>
      <c r="G80" s="204">
        <f t="shared" si="28"/>
        <v>63</v>
      </c>
      <c r="H80" s="205">
        <f t="shared" si="29"/>
        <v>3378565.4832793977</v>
      </c>
      <c r="I80" s="205">
        <f t="shared" si="16"/>
        <v>-17903.073579954729</v>
      </c>
      <c r="J80" s="205">
        <f t="shared" si="17"/>
        <v>-11261.884944264659</v>
      </c>
      <c r="K80" s="205">
        <f t="shared" si="30"/>
        <v>-6641.1886356900704</v>
      </c>
      <c r="L80" s="205">
        <f t="shared" si="31"/>
        <v>3371924.2946437076</v>
      </c>
      <c r="M80" s="199"/>
      <c r="N80" s="200">
        <f t="shared" ca="1" si="32"/>
        <v>0</v>
      </c>
      <c r="O80" s="509">
        <f t="shared" ca="1" si="18"/>
        <v>0</v>
      </c>
      <c r="P80" s="200">
        <f t="shared" ca="1" si="19"/>
        <v>0</v>
      </c>
      <c r="Q80" s="201">
        <f>+Q79+1</f>
        <v>3</v>
      </c>
      <c r="R80" s="202">
        <f t="shared" si="49"/>
        <v>41699</v>
      </c>
      <c r="S80" s="203">
        <f t="shared" si="33"/>
        <v>0.04</v>
      </c>
      <c r="T80" s="204" t="str">
        <f t="shared" ca="1" si="34"/>
        <v>I/O</v>
      </c>
      <c r="U80" s="205">
        <f t="shared" ca="1" si="35"/>
        <v>500000</v>
      </c>
      <c r="V80" s="205">
        <f t="shared" ca="1" si="20"/>
        <v>-1666.6666666666667</v>
      </c>
      <c r="W80" s="205">
        <f t="shared" ca="1" si="21"/>
        <v>-1666.6666666666667</v>
      </c>
      <c r="X80" s="205">
        <f t="shared" ca="1" si="36"/>
        <v>0</v>
      </c>
      <c r="Y80" s="205">
        <f t="shared" ca="1" si="37"/>
        <v>500000</v>
      </c>
      <c r="Z80" s="199"/>
      <c r="AA80" s="200">
        <f t="shared" ca="1" si="25"/>
        <v>6</v>
      </c>
      <c r="AB80" s="509">
        <f t="shared" ca="1" si="22"/>
        <v>62</v>
      </c>
      <c r="AC80" s="200">
        <f>+AC79</f>
        <v>6</v>
      </c>
      <c r="AD80" s="201">
        <f>+AD79+1</f>
        <v>3</v>
      </c>
      <c r="AE80" s="202">
        <f t="shared" ca="1" si="51"/>
        <v>46296</v>
      </c>
      <c r="AF80" s="203">
        <f>IF(Dashboard!$R$24="Float",AF79+Dashboard!$R$24/12,AF79)</f>
        <v>0.06</v>
      </c>
      <c r="AG80" s="204">
        <f t="shared" si="38"/>
        <v>63</v>
      </c>
      <c r="AH80" s="205">
        <f t="shared" si="39"/>
        <v>0</v>
      </c>
      <c r="AI80" s="205">
        <f t="shared" si="23"/>
        <v>0</v>
      </c>
      <c r="AJ80" s="205">
        <f t="shared" si="24"/>
        <v>0</v>
      </c>
      <c r="AK80" s="205">
        <f t="shared" si="40"/>
        <v>0</v>
      </c>
      <c r="AL80" s="205">
        <f t="shared" si="41"/>
        <v>0</v>
      </c>
      <c r="AM80" s="199"/>
      <c r="AN80" s="200">
        <f>+AN79</f>
        <v>7</v>
      </c>
      <c r="AO80" s="201">
        <f>+AO79+1</f>
        <v>3</v>
      </c>
      <c r="AP80" s="202">
        <f t="shared" ca="1" si="53"/>
        <v>46296</v>
      </c>
      <c r="AQ80" s="203">
        <f>IF(Dashboard!$S$20="Float",AQ79+Dashboard!$T$20/12,AQ79)</f>
        <v>4.4999999999999998E-2</v>
      </c>
      <c r="AR80" s="204">
        <f t="shared" si="42"/>
        <v>63</v>
      </c>
      <c r="AS80" s="205">
        <f t="shared" si="43"/>
        <v>3247637.7716226638</v>
      </c>
      <c r="AT80" s="205">
        <f t="shared" si="26"/>
        <v>-18117.071455543861</v>
      </c>
      <c r="AU80" s="205">
        <f t="shared" si="27"/>
        <v>-12178.64164358499</v>
      </c>
      <c r="AV80" s="205">
        <f t="shared" si="44"/>
        <v>-5938.4298119588711</v>
      </c>
      <c r="AW80" s="205">
        <f t="shared" si="45"/>
        <v>3241699.3418107051</v>
      </c>
      <c r="AX80" s="199"/>
    </row>
    <row r="81" spans="1:50">
      <c r="A81" s="73"/>
      <c r="B81" s="570"/>
      <c r="C81" s="200">
        <f>+C80</f>
        <v>6</v>
      </c>
      <c r="D81" s="201">
        <f t="shared" ref="D81:D89" si="100">+D80+1</f>
        <v>4</v>
      </c>
      <c r="E81" s="202">
        <f t="shared" ca="1" si="47"/>
        <v>46327</v>
      </c>
      <c r="F81" s="203">
        <f>+VLOOKUP($C81,Dashboard!$S$4:$T$13,2,0)</f>
        <v>0.04</v>
      </c>
      <c r="G81" s="204">
        <f t="shared" si="28"/>
        <v>64</v>
      </c>
      <c r="H81" s="205">
        <f t="shared" si="29"/>
        <v>3371924.2946437076</v>
      </c>
      <c r="I81" s="205">
        <f t="shared" si="16"/>
        <v>-17903.073579954733</v>
      </c>
      <c r="J81" s="205">
        <f t="shared" si="17"/>
        <v>-11239.747648812359</v>
      </c>
      <c r="K81" s="205">
        <f t="shared" si="30"/>
        <v>-6663.3259311423735</v>
      </c>
      <c r="L81" s="205">
        <f t="shared" si="31"/>
        <v>3365260.968712565</v>
      </c>
      <c r="M81" s="199"/>
      <c r="N81" s="200">
        <f t="shared" ca="1" si="32"/>
        <v>0</v>
      </c>
      <c r="O81" s="509">
        <f t="shared" ca="1" si="18"/>
        <v>0</v>
      </c>
      <c r="P81" s="200">
        <f t="shared" ca="1" si="19"/>
        <v>0</v>
      </c>
      <c r="Q81" s="201">
        <f t="shared" ref="Q81:Q89" si="101">+Q80+1</f>
        <v>4</v>
      </c>
      <c r="R81" s="202">
        <f t="shared" si="49"/>
        <v>41730</v>
      </c>
      <c r="S81" s="203">
        <f t="shared" si="33"/>
        <v>0.04</v>
      </c>
      <c r="T81" s="204" t="str">
        <f t="shared" ca="1" si="34"/>
        <v>I/O</v>
      </c>
      <c r="U81" s="205">
        <f t="shared" ca="1" si="35"/>
        <v>500000</v>
      </c>
      <c r="V81" s="205">
        <f t="shared" ca="1" si="20"/>
        <v>-1666.6666666666667</v>
      </c>
      <c r="W81" s="205">
        <f t="shared" ca="1" si="21"/>
        <v>-1666.6666666666667</v>
      </c>
      <c r="X81" s="205">
        <f t="shared" ca="1" si="36"/>
        <v>0</v>
      </c>
      <c r="Y81" s="205">
        <f t="shared" ca="1" si="37"/>
        <v>500000</v>
      </c>
      <c r="Z81" s="199"/>
      <c r="AA81" s="200">
        <f t="shared" ca="1" si="25"/>
        <v>6</v>
      </c>
      <c r="AB81" s="509">
        <f t="shared" ca="1" si="22"/>
        <v>63</v>
      </c>
      <c r="AC81" s="200">
        <f>+AC80</f>
        <v>6</v>
      </c>
      <c r="AD81" s="201">
        <f t="shared" ref="AD81:AD89" si="102">+AD80+1</f>
        <v>4</v>
      </c>
      <c r="AE81" s="202">
        <f t="shared" ca="1" si="51"/>
        <v>46327</v>
      </c>
      <c r="AF81" s="203">
        <f>IF(Dashboard!$R$24="Float",AF80+Dashboard!$R$24/12,AF80)</f>
        <v>0.06</v>
      </c>
      <c r="AG81" s="204">
        <f t="shared" si="38"/>
        <v>64</v>
      </c>
      <c r="AH81" s="205">
        <f t="shared" si="39"/>
        <v>0</v>
      </c>
      <c r="AI81" s="205">
        <f t="shared" si="23"/>
        <v>0</v>
      </c>
      <c r="AJ81" s="205">
        <f t="shared" si="24"/>
        <v>0</v>
      </c>
      <c r="AK81" s="205">
        <f t="shared" si="40"/>
        <v>0</v>
      </c>
      <c r="AL81" s="205">
        <f t="shared" si="41"/>
        <v>0</v>
      </c>
      <c r="AM81" s="199"/>
      <c r="AN81" s="200">
        <f>+AN80</f>
        <v>7</v>
      </c>
      <c r="AO81" s="201">
        <f t="shared" ref="AO81:AO89" si="103">+AO80+1</f>
        <v>4</v>
      </c>
      <c r="AP81" s="202">
        <f t="shared" ca="1" si="53"/>
        <v>46327</v>
      </c>
      <c r="AQ81" s="203">
        <f>IF(Dashboard!$S$20="Float",AQ80+Dashboard!$T$20/12,AQ80)</f>
        <v>4.4999999999999998E-2</v>
      </c>
      <c r="AR81" s="204">
        <f t="shared" si="42"/>
        <v>64</v>
      </c>
      <c r="AS81" s="205">
        <f t="shared" si="43"/>
        <v>3241699.3418107051</v>
      </c>
      <c r="AT81" s="205">
        <f t="shared" si="26"/>
        <v>-18117.071455543861</v>
      </c>
      <c r="AU81" s="205">
        <f t="shared" si="27"/>
        <v>-12156.372531790143</v>
      </c>
      <c r="AV81" s="205">
        <f t="shared" si="44"/>
        <v>-5960.6989237537182</v>
      </c>
      <c r="AW81" s="205">
        <f t="shared" si="45"/>
        <v>3235738.6428869516</v>
      </c>
      <c r="AX81" s="199"/>
    </row>
    <row r="82" spans="1:50">
      <c r="A82" s="73"/>
      <c r="B82" s="570"/>
      <c r="C82" s="200">
        <f t="shared" ref="C82:C89" si="104">+C81</f>
        <v>6</v>
      </c>
      <c r="D82" s="201">
        <f t="shared" si="100"/>
        <v>5</v>
      </c>
      <c r="E82" s="202">
        <f t="shared" ca="1" si="47"/>
        <v>46357</v>
      </c>
      <c r="F82" s="203">
        <f>+VLOOKUP($C82,Dashboard!$S$4:$T$13,2,0)</f>
        <v>0.04</v>
      </c>
      <c r="G82" s="204">
        <f t="shared" si="28"/>
        <v>65</v>
      </c>
      <c r="H82" s="205">
        <f t="shared" si="29"/>
        <v>3365260.968712565</v>
      </c>
      <c r="I82" s="205">
        <f t="shared" ref="I82:I145" si="105">+IFERROR(IF(C82&gt;D$6,PMT(LOOKUP(C82,$C$18:$C$497,F$18:F$497)/12,D$5+1-G82,H82),-H82*LOOKUP(C82,C$18:C$497,F$18:F$497)/12),0)</f>
        <v>-17903.073579954726</v>
      </c>
      <c r="J82" s="205">
        <f t="shared" ref="J82:J145" si="106">-H82*LOOKUP(C82,C$18:C$497,F$18:F$497)/12</f>
        <v>-11217.536562375217</v>
      </c>
      <c r="K82" s="205">
        <f t="shared" si="30"/>
        <v>-6685.5370175795088</v>
      </c>
      <c r="L82" s="205">
        <f t="shared" si="31"/>
        <v>3358575.4316949854</v>
      </c>
      <c r="M82" s="199"/>
      <c r="N82" s="200">
        <f t="shared" ca="1" si="32"/>
        <v>0</v>
      </c>
      <c r="O82" s="509">
        <f t="shared" ref="O82:O145" ca="1" si="107">+IF(CDate&gt;=$R82,0,IF(O81&gt;0,O81+1,1))</f>
        <v>0</v>
      </c>
      <c r="P82" s="200">
        <f t="shared" ref="P82:P145" ca="1" si="108">+IFERROR(LOOKUP($R82,$E$18:$E$497,$C$18:$C$497),0)</f>
        <v>0</v>
      </c>
      <c r="Q82" s="201">
        <f t="shared" si="101"/>
        <v>5</v>
      </c>
      <c r="R82" s="202">
        <f t="shared" si="49"/>
        <v>41760</v>
      </c>
      <c r="S82" s="203">
        <f t="shared" si="33"/>
        <v>0.04</v>
      </c>
      <c r="T82" s="204" t="str">
        <f t="shared" ca="1" si="34"/>
        <v>I/O</v>
      </c>
      <c r="U82" s="205">
        <f t="shared" ca="1" si="35"/>
        <v>500000</v>
      </c>
      <c r="V82" s="205">
        <f t="shared" ref="V82:V145" ca="1" si="109">+IFERROR(IF(P82&gt;Q$6,PMT(LOOKUP(P82,$C$18:$C$497,S$18:S$497)/12,Q$5+1-T82,U82),-U82*LOOKUP(P82,P$18:P$497,S$18:S$497)/12),0)</f>
        <v>-1666.6666666666667</v>
      </c>
      <c r="W82" s="205">
        <f t="shared" ref="W82:W145" ca="1" si="110">-U82*LOOKUP(P82,P$18:P$497,S$18:S$497)/12</f>
        <v>-1666.6666666666667</v>
      </c>
      <c r="X82" s="205">
        <f t="shared" ca="1" si="36"/>
        <v>0</v>
      </c>
      <c r="Y82" s="205">
        <f t="shared" ca="1" si="37"/>
        <v>500000</v>
      </c>
      <c r="Z82" s="199"/>
      <c r="AA82" s="200">
        <f t="shared" ca="1" si="25"/>
        <v>6</v>
      </c>
      <c r="AB82" s="509">
        <f t="shared" ref="AB82:AB145" ca="1" si="111">+IF(CDate&gt;=$AE82,0,IF(AB81&gt;0,AB81+1,1))</f>
        <v>64</v>
      </c>
      <c r="AC82" s="200">
        <f t="shared" ref="AC82:AC89" si="112">+AC81</f>
        <v>6</v>
      </c>
      <c r="AD82" s="201">
        <f t="shared" si="102"/>
        <v>5</v>
      </c>
      <c r="AE82" s="202">
        <f t="shared" ca="1" si="51"/>
        <v>46357</v>
      </c>
      <c r="AF82" s="203">
        <f>IF(Dashboard!$R$24="Float",AF81+Dashboard!$R$24/12,AF81)</f>
        <v>0.06</v>
      </c>
      <c r="AG82" s="204">
        <f t="shared" si="38"/>
        <v>65</v>
      </c>
      <c r="AH82" s="205">
        <f t="shared" si="39"/>
        <v>0</v>
      </c>
      <c r="AI82" s="205">
        <f t="shared" ref="AI82:AI145" si="113">+IFERROR(IF(AC82&gt;AD$6,PMT(LOOKUP(AC82,$C$18:$C$497,AF$18:AF$497)/12,AD$5+1-AG82,AH82),-AH82*LOOKUP(AC82,AC$18:AC$497,AF$18:AF$497)/12),0)</f>
        <v>0</v>
      </c>
      <c r="AJ82" s="205">
        <f t="shared" ref="AJ82:AJ145" si="114">-AH82*LOOKUP(AC82,AC$18:AC$497,AF$18:AF$497)/12</f>
        <v>0</v>
      </c>
      <c r="AK82" s="205">
        <f t="shared" si="40"/>
        <v>0</v>
      </c>
      <c r="AL82" s="205">
        <f t="shared" si="41"/>
        <v>0</v>
      </c>
      <c r="AM82" s="199"/>
      <c r="AN82" s="200">
        <f t="shared" ref="AN82:AN89" si="115">+AN81</f>
        <v>7</v>
      </c>
      <c r="AO82" s="201">
        <f t="shared" si="103"/>
        <v>5</v>
      </c>
      <c r="AP82" s="202">
        <f t="shared" ca="1" si="53"/>
        <v>46357</v>
      </c>
      <c r="AQ82" s="203">
        <f>IF(Dashboard!$S$20="Float",AQ81+Dashboard!$T$20/12,AQ81)</f>
        <v>4.4999999999999998E-2</v>
      </c>
      <c r="AR82" s="204">
        <f t="shared" si="42"/>
        <v>65</v>
      </c>
      <c r="AS82" s="205">
        <f t="shared" si="43"/>
        <v>3235738.6428869516</v>
      </c>
      <c r="AT82" s="205">
        <f t="shared" si="26"/>
        <v>-18117.071455543861</v>
      </c>
      <c r="AU82" s="205">
        <f t="shared" si="27"/>
        <v>-12134.019910826069</v>
      </c>
      <c r="AV82" s="205">
        <f t="shared" si="44"/>
        <v>-5983.0515447177913</v>
      </c>
      <c r="AW82" s="205">
        <f t="shared" si="45"/>
        <v>3229755.5913422336</v>
      </c>
      <c r="AX82" s="199"/>
    </row>
    <row r="83" spans="1:50">
      <c r="A83" s="73"/>
      <c r="B83" s="570"/>
      <c r="C83" s="200">
        <f t="shared" si="104"/>
        <v>6</v>
      </c>
      <c r="D83" s="201">
        <f t="shared" si="100"/>
        <v>6</v>
      </c>
      <c r="E83" s="202">
        <f t="shared" ca="1" si="47"/>
        <v>46388</v>
      </c>
      <c r="F83" s="203">
        <f>+VLOOKUP($C83,Dashboard!$S$4:$T$13,2,0)</f>
        <v>0.04</v>
      </c>
      <c r="G83" s="204">
        <f t="shared" si="28"/>
        <v>66</v>
      </c>
      <c r="H83" s="205">
        <f t="shared" si="29"/>
        <v>3358575.4316949854</v>
      </c>
      <c r="I83" s="205">
        <f t="shared" si="105"/>
        <v>-17903.073579954729</v>
      </c>
      <c r="J83" s="205">
        <f t="shared" si="106"/>
        <v>-11195.251438983285</v>
      </c>
      <c r="K83" s="205">
        <f t="shared" si="30"/>
        <v>-6707.8221409714442</v>
      </c>
      <c r="L83" s="205">
        <f t="shared" si="31"/>
        <v>3351867.6095540137</v>
      </c>
      <c r="M83" s="199"/>
      <c r="N83" s="200">
        <f t="shared" ca="1" si="32"/>
        <v>0</v>
      </c>
      <c r="O83" s="509">
        <f t="shared" ca="1" si="107"/>
        <v>0</v>
      </c>
      <c r="P83" s="200">
        <f t="shared" ca="1" si="108"/>
        <v>0</v>
      </c>
      <c r="Q83" s="201">
        <f t="shared" si="101"/>
        <v>6</v>
      </c>
      <c r="R83" s="202">
        <f t="shared" si="49"/>
        <v>41791</v>
      </c>
      <c r="S83" s="203">
        <f t="shared" si="33"/>
        <v>0.04</v>
      </c>
      <c r="T83" s="204" t="str">
        <f t="shared" ca="1" si="34"/>
        <v>I/O</v>
      </c>
      <c r="U83" s="205">
        <f t="shared" ca="1" si="35"/>
        <v>500000</v>
      </c>
      <c r="V83" s="205">
        <f t="shared" ca="1" si="109"/>
        <v>-1666.6666666666667</v>
      </c>
      <c r="W83" s="205">
        <f t="shared" ca="1" si="110"/>
        <v>-1666.6666666666667</v>
      </c>
      <c r="X83" s="205">
        <f t="shared" ca="1" si="36"/>
        <v>0</v>
      </c>
      <c r="Y83" s="205">
        <f t="shared" ca="1" si="37"/>
        <v>500000</v>
      </c>
      <c r="Z83" s="199"/>
      <c r="AA83" s="200">
        <f t="shared" ref="AA83:AA146" ca="1" si="116">+ROUNDUP(AB83/12,0)</f>
        <v>6</v>
      </c>
      <c r="AB83" s="509">
        <f t="shared" ca="1" si="111"/>
        <v>65</v>
      </c>
      <c r="AC83" s="200">
        <f t="shared" si="112"/>
        <v>6</v>
      </c>
      <c r="AD83" s="201">
        <f t="shared" si="102"/>
        <v>6</v>
      </c>
      <c r="AE83" s="202">
        <f t="shared" ca="1" si="51"/>
        <v>46388</v>
      </c>
      <c r="AF83" s="203">
        <f>IF(Dashboard!$R$24="Float",AF82+Dashboard!$R$24/12,AF82)</f>
        <v>0.06</v>
      </c>
      <c r="AG83" s="204">
        <f t="shared" si="38"/>
        <v>66</v>
      </c>
      <c r="AH83" s="205">
        <f t="shared" si="39"/>
        <v>0</v>
      </c>
      <c r="AI83" s="205">
        <f t="shared" si="113"/>
        <v>0</v>
      </c>
      <c r="AJ83" s="205">
        <f t="shared" si="114"/>
        <v>0</v>
      </c>
      <c r="AK83" s="205">
        <f t="shared" si="40"/>
        <v>0</v>
      </c>
      <c r="AL83" s="205">
        <f t="shared" si="41"/>
        <v>0</v>
      </c>
      <c r="AM83" s="199"/>
      <c r="AN83" s="200">
        <f t="shared" si="115"/>
        <v>7</v>
      </c>
      <c r="AO83" s="201">
        <f t="shared" si="103"/>
        <v>6</v>
      </c>
      <c r="AP83" s="202">
        <f t="shared" ca="1" si="53"/>
        <v>46388</v>
      </c>
      <c r="AQ83" s="203">
        <f>IF(Dashboard!$S$20="Float",AQ82+Dashboard!$T$20/12,AQ82)</f>
        <v>4.4999999999999998E-2</v>
      </c>
      <c r="AR83" s="204">
        <f t="shared" si="42"/>
        <v>66</v>
      </c>
      <c r="AS83" s="205">
        <f t="shared" si="43"/>
        <v>3229755.5913422336</v>
      </c>
      <c r="AT83" s="205">
        <f t="shared" ref="AT83:AT146" si="117">+IFERROR(IF(AN83&gt;AO$6+$AT$5-1,PMT(LOOKUP(AN83,$AT$5:$AT$15,$AU$5:$AU$15)/12,$AO$5+1-AR83,AS83),-AS83*LOOKUP(AN83,AN$18:AN$497,AQ$18:AQ$497)/12),0)</f>
        <v>-18117.071455543864</v>
      </c>
      <c r="AU83" s="205">
        <f t="shared" ref="AU83:AU146" si="118">-AS83*LOOKUP(AN83,$AT$5:$AT$15,$AU$5:$AU$15)/12</f>
        <v>-12111.583467533375</v>
      </c>
      <c r="AV83" s="205">
        <f t="shared" si="44"/>
        <v>-6005.4879880104891</v>
      </c>
      <c r="AW83" s="205">
        <f t="shared" si="45"/>
        <v>3223750.1033542231</v>
      </c>
      <c r="AX83" s="199"/>
    </row>
    <row r="84" spans="1:50">
      <c r="A84" s="73"/>
      <c r="B84" s="570"/>
      <c r="C84" s="200">
        <f t="shared" si="104"/>
        <v>6</v>
      </c>
      <c r="D84" s="201">
        <f t="shared" si="100"/>
        <v>7</v>
      </c>
      <c r="E84" s="202">
        <f t="shared" ca="1" si="47"/>
        <v>46419</v>
      </c>
      <c r="F84" s="203">
        <f>+VLOOKUP($C84,Dashboard!$S$4:$T$13,2,0)</f>
        <v>0.04</v>
      </c>
      <c r="G84" s="204">
        <f t="shared" ref="G84:G147" si="119">+IF(G83="I/O",IF(C84&lt;=D$6,"I/O",1),G83+1)</f>
        <v>67</v>
      </c>
      <c r="H84" s="205">
        <f t="shared" ref="H84:H147" si="120">+L83</f>
        <v>3351867.6095540137</v>
      </c>
      <c r="I84" s="205">
        <f t="shared" si="105"/>
        <v>-17903.073579954729</v>
      </c>
      <c r="J84" s="205">
        <f t="shared" si="106"/>
        <v>-11172.892031846714</v>
      </c>
      <c r="K84" s="205">
        <f t="shared" ref="K84:K147" si="121">+I84-J84</f>
        <v>-6730.1815481080157</v>
      </c>
      <c r="L84" s="205">
        <f t="shared" ref="L84:L147" si="122">IFERROR(H84+K84,0)</f>
        <v>3345137.4280059058</v>
      </c>
      <c r="M84" s="199"/>
      <c r="N84" s="200">
        <f t="shared" ref="N84:N147" ca="1" si="123">+ROUNDUP(O84/12,0)</f>
        <v>0</v>
      </c>
      <c r="O84" s="509">
        <f t="shared" ca="1" si="107"/>
        <v>0</v>
      </c>
      <c r="P84" s="200">
        <f t="shared" ca="1" si="108"/>
        <v>0</v>
      </c>
      <c r="Q84" s="201">
        <f t="shared" si="101"/>
        <v>7</v>
      </c>
      <c r="R84" s="202">
        <f t="shared" si="49"/>
        <v>41821</v>
      </c>
      <c r="S84" s="203">
        <f t="shared" ref="S84:S147" si="124">+S83</f>
        <v>0.04</v>
      </c>
      <c r="T84" s="204" t="str">
        <f t="shared" ref="T84:T147" ca="1" si="125">+IF(T83="I/O",IF(P84&lt;=Q$6,"I/O",1),T83+1)</f>
        <v>I/O</v>
      </c>
      <c r="U84" s="205">
        <f t="shared" ref="U84:U147" ca="1" si="126">+Y83</f>
        <v>500000</v>
      </c>
      <c r="V84" s="205">
        <f t="shared" ca="1" si="109"/>
        <v>-1666.6666666666667</v>
      </c>
      <c r="W84" s="205">
        <f t="shared" ca="1" si="110"/>
        <v>-1666.6666666666667</v>
      </c>
      <c r="X84" s="205">
        <f t="shared" ref="X84:X147" ca="1" si="127">+V84-W84</f>
        <v>0</v>
      </c>
      <c r="Y84" s="205">
        <f t="shared" ref="Y84:Y147" ca="1" si="128">IFERROR(U84+X84,0)</f>
        <v>500000</v>
      </c>
      <c r="Z84" s="199"/>
      <c r="AA84" s="200">
        <f t="shared" ca="1" si="116"/>
        <v>6</v>
      </c>
      <c r="AB84" s="509">
        <f t="shared" ca="1" si="111"/>
        <v>66</v>
      </c>
      <c r="AC84" s="200">
        <f t="shared" si="112"/>
        <v>6</v>
      </c>
      <c r="AD84" s="201">
        <f t="shared" si="102"/>
        <v>7</v>
      </c>
      <c r="AE84" s="202">
        <f t="shared" ca="1" si="51"/>
        <v>46419</v>
      </c>
      <c r="AF84" s="203">
        <f>IF(Dashboard!$R$24="Float",AF83+Dashboard!$R$24/12,AF83)</f>
        <v>0.06</v>
      </c>
      <c r="AG84" s="204">
        <f t="shared" ref="AG84:AG147" si="129">+IF(AG83="I/O",IF(AC84&lt;=AD$6,"I/O",1),AG83+1)</f>
        <v>67</v>
      </c>
      <c r="AH84" s="205">
        <f t="shared" ref="AH84:AH147" si="130">+AL83</f>
        <v>0</v>
      </c>
      <c r="AI84" s="205">
        <f t="shared" si="113"/>
        <v>0</v>
      </c>
      <c r="AJ84" s="205">
        <f t="shared" si="114"/>
        <v>0</v>
      </c>
      <c r="AK84" s="205">
        <f t="shared" ref="AK84:AK147" si="131">+AI84-AJ84</f>
        <v>0</v>
      </c>
      <c r="AL84" s="205">
        <f t="shared" ref="AL84:AL147" si="132">IFERROR(AH84+AK84,0)</f>
        <v>0</v>
      </c>
      <c r="AM84" s="199"/>
      <c r="AN84" s="200">
        <f t="shared" si="115"/>
        <v>7</v>
      </c>
      <c r="AO84" s="201">
        <f t="shared" si="103"/>
        <v>7</v>
      </c>
      <c r="AP84" s="202">
        <f t="shared" ca="1" si="53"/>
        <v>46419</v>
      </c>
      <c r="AQ84" s="203">
        <f>IF(Dashboard!$S$20="Float",AQ83+Dashboard!$T$20/12,AQ83)</f>
        <v>4.4999999999999998E-2</v>
      </c>
      <c r="AR84" s="204">
        <f t="shared" ref="AR84:AR147" si="133">+IF(AR83="I/O",IF(AN84&lt;=AO$6,"I/O",1),AR83+1)</f>
        <v>67</v>
      </c>
      <c r="AS84" s="205">
        <f t="shared" ref="AS84:AS147" si="134">+AW83</f>
        <v>3223750.1033542231</v>
      </c>
      <c r="AT84" s="205">
        <f t="shared" si="117"/>
        <v>-18117.071455543861</v>
      </c>
      <c r="AU84" s="205">
        <f t="shared" si="118"/>
        <v>-12089.062887578337</v>
      </c>
      <c r="AV84" s="205">
        <f t="shared" ref="AV84:AV147" si="135">+AT84-AU84</f>
        <v>-6028.008567965524</v>
      </c>
      <c r="AW84" s="205">
        <f t="shared" ref="AW84:AW147" si="136">IFERROR(AS84+AV84,0)</f>
        <v>3217722.0947862575</v>
      </c>
      <c r="AX84" s="199"/>
    </row>
    <row r="85" spans="1:50">
      <c r="A85" s="73"/>
      <c r="B85" s="570"/>
      <c r="C85" s="200">
        <f t="shared" si="104"/>
        <v>6</v>
      </c>
      <c r="D85" s="201">
        <f t="shared" si="100"/>
        <v>8</v>
      </c>
      <c r="E85" s="202">
        <f t="shared" ref="E85:E148" ca="1" si="137">+EDATE(E84,1)</f>
        <v>46447</v>
      </c>
      <c r="F85" s="203">
        <f>+VLOOKUP($C85,Dashboard!$S$4:$T$13,2,0)</f>
        <v>0.04</v>
      </c>
      <c r="G85" s="204">
        <f t="shared" si="119"/>
        <v>68</v>
      </c>
      <c r="H85" s="205">
        <f t="shared" si="120"/>
        <v>3345137.4280059058</v>
      </c>
      <c r="I85" s="205">
        <f t="shared" si="105"/>
        <v>-17903.073579954729</v>
      </c>
      <c r="J85" s="205">
        <f t="shared" si="106"/>
        <v>-11150.458093353018</v>
      </c>
      <c r="K85" s="205">
        <f t="shared" si="121"/>
        <v>-6752.6154866017114</v>
      </c>
      <c r="L85" s="205">
        <f t="shared" si="122"/>
        <v>3338384.812519304</v>
      </c>
      <c r="M85" s="199"/>
      <c r="N85" s="200">
        <f t="shared" ca="1" si="123"/>
        <v>0</v>
      </c>
      <c r="O85" s="509">
        <f t="shared" ca="1" si="107"/>
        <v>0</v>
      </c>
      <c r="P85" s="200">
        <f t="shared" ca="1" si="108"/>
        <v>0</v>
      </c>
      <c r="Q85" s="201">
        <f t="shared" si="101"/>
        <v>8</v>
      </c>
      <c r="R85" s="202">
        <f t="shared" ref="R85:R148" si="138">+EDATE(R84,1)</f>
        <v>41852</v>
      </c>
      <c r="S85" s="203">
        <f t="shared" si="124"/>
        <v>0.04</v>
      </c>
      <c r="T85" s="204" t="str">
        <f t="shared" ca="1" si="125"/>
        <v>I/O</v>
      </c>
      <c r="U85" s="205">
        <f t="shared" ca="1" si="126"/>
        <v>500000</v>
      </c>
      <c r="V85" s="205">
        <f t="shared" ca="1" si="109"/>
        <v>-1666.6666666666667</v>
      </c>
      <c r="W85" s="205">
        <f t="shared" ca="1" si="110"/>
        <v>-1666.6666666666667</v>
      </c>
      <c r="X85" s="205">
        <f t="shared" ca="1" si="127"/>
        <v>0</v>
      </c>
      <c r="Y85" s="205">
        <f t="shared" ca="1" si="128"/>
        <v>500000</v>
      </c>
      <c r="Z85" s="199"/>
      <c r="AA85" s="200">
        <f t="shared" ca="1" si="116"/>
        <v>6</v>
      </c>
      <c r="AB85" s="509">
        <f t="shared" ca="1" si="111"/>
        <v>67</v>
      </c>
      <c r="AC85" s="200">
        <f t="shared" si="112"/>
        <v>6</v>
      </c>
      <c r="AD85" s="201">
        <f t="shared" si="102"/>
        <v>8</v>
      </c>
      <c r="AE85" s="202">
        <f t="shared" ref="AE85:AE148" ca="1" si="139">+EDATE(AE84,1)</f>
        <v>46447</v>
      </c>
      <c r="AF85" s="203">
        <f>IF(Dashboard!$R$24="Float",AF84+Dashboard!$R$24/12,AF84)</f>
        <v>0.06</v>
      </c>
      <c r="AG85" s="204">
        <f t="shared" si="129"/>
        <v>68</v>
      </c>
      <c r="AH85" s="205">
        <f t="shared" si="130"/>
        <v>0</v>
      </c>
      <c r="AI85" s="205">
        <f t="shared" si="113"/>
        <v>0</v>
      </c>
      <c r="AJ85" s="205">
        <f t="shared" si="114"/>
        <v>0</v>
      </c>
      <c r="AK85" s="205">
        <f t="shared" si="131"/>
        <v>0</v>
      </c>
      <c r="AL85" s="205">
        <f t="shared" si="132"/>
        <v>0</v>
      </c>
      <c r="AM85" s="199"/>
      <c r="AN85" s="200">
        <f t="shared" si="115"/>
        <v>7</v>
      </c>
      <c r="AO85" s="201">
        <f t="shared" si="103"/>
        <v>8</v>
      </c>
      <c r="AP85" s="202">
        <f t="shared" ref="AP85:AP148" ca="1" si="140">+EDATE(AP84,1)</f>
        <v>46447</v>
      </c>
      <c r="AQ85" s="203">
        <f>IF(Dashboard!$S$20="Float",AQ84+Dashboard!$T$20/12,AQ84)</f>
        <v>4.4999999999999998E-2</v>
      </c>
      <c r="AR85" s="204">
        <f t="shared" si="133"/>
        <v>68</v>
      </c>
      <c r="AS85" s="205">
        <f t="shared" si="134"/>
        <v>3217722.0947862575</v>
      </c>
      <c r="AT85" s="205">
        <f t="shared" si="117"/>
        <v>-18117.071455543861</v>
      </c>
      <c r="AU85" s="205">
        <f t="shared" si="118"/>
        <v>-12066.457855448463</v>
      </c>
      <c r="AV85" s="205">
        <f t="shared" si="135"/>
        <v>-6050.6136000953975</v>
      </c>
      <c r="AW85" s="205">
        <f t="shared" si="136"/>
        <v>3211671.4811861622</v>
      </c>
      <c r="AX85" s="199"/>
    </row>
    <row r="86" spans="1:50">
      <c r="A86" s="73"/>
      <c r="B86" s="570"/>
      <c r="C86" s="200">
        <f t="shared" si="104"/>
        <v>6</v>
      </c>
      <c r="D86" s="201">
        <f t="shared" si="100"/>
        <v>9</v>
      </c>
      <c r="E86" s="202">
        <f t="shared" ca="1" si="137"/>
        <v>46478</v>
      </c>
      <c r="F86" s="203">
        <f>+VLOOKUP($C86,Dashboard!$S$4:$T$13,2,0)</f>
        <v>0.04</v>
      </c>
      <c r="G86" s="204">
        <f t="shared" si="119"/>
        <v>69</v>
      </c>
      <c r="H86" s="205">
        <f t="shared" si="120"/>
        <v>3338384.812519304</v>
      </c>
      <c r="I86" s="205">
        <f t="shared" si="105"/>
        <v>-17903.073579954729</v>
      </c>
      <c r="J86" s="205">
        <f t="shared" si="106"/>
        <v>-11127.949375064347</v>
      </c>
      <c r="K86" s="205">
        <f t="shared" si="121"/>
        <v>-6775.1242048903823</v>
      </c>
      <c r="L86" s="205">
        <f t="shared" si="122"/>
        <v>3331609.6883144137</v>
      </c>
      <c r="M86" s="199"/>
      <c r="N86" s="200">
        <f t="shared" ca="1" si="123"/>
        <v>0</v>
      </c>
      <c r="O86" s="509">
        <f t="shared" ca="1" si="107"/>
        <v>0</v>
      </c>
      <c r="P86" s="200">
        <f t="shared" ca="1" si="108"/>
        <v>0</v>
      </c>
      <c r="Q86" s="201">
        <f t="shared" si="101"/>
        <v>9</v>
      </c>
      <c r="R86" s="202">
        <f t="shared" si="138"/>
        <v>41883</v>
      </c>
      <c r="S86" s="203">
        <f t="shared" si="124"/>
        <v>0.04</v>
      </c>
      <c r="T86" s="204" t="str">
        <f t="shared" ca="1" si="125"/>
        <v>I/O</v>
      </c>
      <c r="U86" s="205">
        <f t="shared" ca="1" si="126"/>
        <v>500000</v>
      </c>
      <c r="V86" s="205">
        <f t="shared" ca="1" si="109"/>
        <v>-1666.6666666666667</v>
      </c>
      <c r="W86" s="205">
        <f t="shared" ca="1" si="110"/>
        <v>-1666.6666666666667</v>
      </c>
      <c r="X86" s="205">
        <f t="shared" ca="1" si="127"/>
        <v>0</v>
      </c>
      <c r="Y86" s="205">
        <f t="shared" ca="1" si="128"/>
        <v>500000</v>
      </c>
      <c r="Z86" s="199"/>
      <c r="AA86" s="200">
        <f t="shared" ca="1" si="116"/>
        <v>6</v>
      </c>
      <c r="AB86" s="509">
        <f t="shared" ca="1" si="111"/>
        <v>68</v>
      </c>
      <c r="AC86" s="200">
        <f t="shared" si="112"/>
        <v>6</v>
      </c>
      <c r="AD86" s="201">
        <f t="shared" si="102"/>
        <v>9</v>
      </c>
      <c r="AE86" s="202">
        <f t="shared" ca="1" si="139"/>
        <v>46478</v>
      </c>
      <c r="AF86" s="203">
        <f>IF(Dashboard!$R$24="Float",AF85+Dashboard!$R$24/12,AF85)</f>
        <v>0.06</v>
      </c>
      <c r="AG86" s="204">
        <f t="shared" si="129"/>
        <v>69</v>
      </c>
      <c r="AH86" s="205">
        <f t="shared" si="130"/>
        <v>0</v>
      </c>
      <c r="AI86" s="205">
        <f t="shared" si="113"/>
        <v>0</v>
      </c>
      <c r="AJ86" s="205">
        <f t="shared" si="114"/>
        <v>0</v>
      </c>
      <c r="AK86" s="205">
        <f t="shared" si="131"/>
        <v>0</v>
      </c>
      <c r="AL86" s="205">
        <f t="shared" si="132"/>
        <v>0</v>
      </c>
      <c r="AM86" s="199"/>
      <c r="AN86" s="200">
        <f t="shared" si="115"/>
        <v>7</v>
      </c>
      <c r="AO86" s="201">
        <f t="shared" si="103"/>
        <v>9</v>
      </c>
      <c r="AP86" s="202">
        <f t="shared" ca="1" si="140"/>
        <v>46478</v>
      </c>
      <c r="AQ86" s="203">
        <f>IF(Dashboard!$S$20="Float",AQ85+Dashboard!$T$20/12,AQ85)</f>
        <v>4.4999999999999998E-2</v>
      </c>
      <c r="AR86" s="204">
        <f t="shared" si="133"/>
        <v>69</v>
      </c>
      <c r="AS86" s="205">
        <f t="shared" si="134"/>
        <v>3211671.4811861622</v>
      </c>
      <c r="AT86" s="205">
        <f t="shared" si="117"/>
        <v>-18117.071455543861</v>
      </c>
      <c r="AU86" s="205">
        <f t="shared" si="118"/>
        <v>-12043.768054448106</v>
      </c>
      <c r="AV86" s="205">
        <f t="shared" si="135"/>
        <v>-6073.3034010957545</v>
      </c>
      <c r="AW86" s="205">
        <f t="shared" si="136"/>
        <v>3205598.1777850664</v>
      </c>
      <c r="AX86" s="199"/>
    </row>
    <row r="87" spans="1:50">
      <c r="A87" s="73"/>
      <c r="B87" s="570"/>
      <c r="C87" s="200">
        <f t="shared" si="104"/>
        <v>6</v>
      </c>
      <c r="D87" s="201">
        <f t="shared" si="100"/>
        <v>10</v>
      </c>
      <c r="E87" s="202">
        <f t="shared" ca="1" si="137"/>
        <v>46508</v>
      </c>
      <c r="F87" s="203">
        <f>+VLOOKUP($C87,Dashboard!$S$4:$T$13,2,0)</f>
        <v>0.04</v>
      </c>
      <c r="G87" s="204">
        <f t="shared" si="119"/>
        <v>70</v>
      </c>
      <c r="H87" s="205">
        <f t="shared" si="120"/>
        <v>3331609.6883144137</v>
      </c>
      <c r="I87" s="205">
        <f t="shared" si="105"/>
        <v>-17903.073579954729</v>
      </c>
      <c r="J87" s="205">
        <f t="shared" si="106"/>
        <v>-11105.365627714711</v>
      </c>
      <c r="K87" s="205">
        <f t="shared" si="121"/>
        <v>-6797.7079522400181</v>
      </c>
      <c r="L87" s="205">
        <f t="shared" si="122"/>
        <v>3324811.9803621736</v>
      </c>
      <c r="M87" s="199"/>
      <c r="N87" s="200">
        <f t="shared" ca="1" si="123"/>
        <v>0</v>
      </c>
      <c r="O87" s="509">
        <f t="shared" ca="1" si="107"/>
        <v>0</v>
      </c>
      <c r="P87" s="200">
        <f t="shared" ca="1" si="108"/>
        <v>0</v>
      </c>
      <c r="Q87" s="201">
        <f t="shared" si="101"/>
        <v>10</v>
      </c>
      <c r="R87" s="202">
        <f t="shared" si="138"/>
        <v>41913</v>
      </c>
      <c r="S87" s="203">
        <f t="shared" si="124"/>
        <v>0.04</v>
      </c>
      <c r="T87" s="204" t="str">
        <f t="shared" ca="1" si="125"/>
        <v>I/O</v>
      </c>
      <c r="U87" s="205">
        <f t="shared" ca="1" si="126"/>
        <v>500000</v>
      </c>
      <c r="V87" s="205">
        <f t="shared" ca="1" si="109"/>
        <v>-1666.6666666666667</v>
      </c>
      <c r="W87" s="205">
        <f t="shared" ca="1" si="110"/>
        <v>-1666.6666666666667</v>
      </c>
      <c r="X87" s="205">
        <f t="shared" ca="1" si="127"/>
        <v>0</v>
      </c>
      <c r="Y87" s="205">
        <f t="shared" ca="1" si="128"/>
        <v>500000</v>
      </c>
      <c r="Z87" s="199"/>
      <c r="AA87" s="200">
        <f t="shared" ca="1" si="116"/>
        <v>6</v>
      </c>
      <c r="AB87" s="509">
        <f t="shared" ca="1" si="111"/>
        <v>69</v>
      </c>
      <c r="AC87" s="200">
        <f t="shared" si="112"/>
        <v>6</v>
      </c>
      <c r="AD87" s="201">
        <f t="shared" si="102"/>
        <v>10</v>
      </c>
      <c r="AE87" s="202">
        <f t="shared" ca="1" si="139"/>
        <v>46508</v>
      </c>
      <c r="AF87" s="203">
        <f>IF(Dashboard!$R$24="Float",AF86+Dashboard!$R$24/12,AF86)</f>
        <v>0.06</v>
      </c>
      <c r="AG87" s="204">
        <f t="shared" si="129"/>
        <v>70</v>
      </c>
      <c r="AH87" s="205">
        <f t="shared" si="130"/>
        <v>0</v>
      </c>
      <c r="AI87" s="205">
        <f t="shared" si="113"/>
        <v>0</v>
      </c>
      <c r="AJ87" s="205">
        <f t="shared" si="114"/>
        <v>0</v>
      </c>
      <c r="AK87" s="205">
        <f t="shared" si="131"/>
        <v>0</v>
      </c>
      <c r="AL87" s="205">
        <f t="shared" si="132"/>
        <v>0</v>
      </c>
      <c r="AM87" s="199"/>
      <c r="AN87" s="200">
        <f t="shared" si="115"/>
        <v>7</v>
      </c>
      <c r="AO87" s="201">
        <f t="shared" si="103"/>
        <v>10</v>
      </c>
      <c r="AP87" s="202">
        <f t="shared" ca="1" si="140"/>
        <v>46508</v>
      </c>
      <c r="AQ87" s="203">
        <f>IF(Dashboard!$S$20="Float",AQ86+Dashboard!$T$20/12,AQ86)</f>
        <v>4.4999999999999998E-2</v>
      </c>
      <c r="AR87" s="204">
        <f t="shared" si="133"/>
        <v>70</v>
      </c>
      <c r="AS87" s="205">
        <f t="shared" si="134"/>
        <v>3205598.1777850664</v>
      </c>
      <c r="AT87" s="205">
        <f t="shared" si="117"/>
        <v>-18117.071455543861</v>
      </c>
      <c r="AU87" s="205">
        <f t="shared" si="118"/>
        <v>-12020.993166693997</v>
      </c>
      <c r="AV87" s="205">
        <f t="shared" si="135"/>
        <v>-6096.0782888498634</v>
      </c>
      <c r="AW87" s="205">
        <f t="shared" si="136"/>
        <v>3199502.0994962165</v>
      </c>
      <c r="AX87" s="199"/>
    </row>
    <row r="88" spans="1:50">
      <c r="A88" s="73"/>
      <c r="B88" s="570"/>
      <c r="C88" s="200">
        <f t="shared" si="104"/>
        <v>6</v>
      </c>
      <c r="D88" s="201">
        <f t="shared" si="100"/>
        <v>11</v>
      </c>
      <c r="E88" s="202">
        <f t="shared" ca="1" si="137"/>
        <v>46539</v>
      </c>
      <c r="F88" s="203">
        <f>+VLOOKUP($C88,Dashboard!$S$4:$T$13,2,0)</f>
        <v>0.04</v>
      </c>
      <c r="G88" s="204">
        <f t="shared" si="119"/>
        <v>71</v>
      </c>
      <c r="H88" s="205">
        <f t="shared" si="120"/>
        <v>3324811.9803621736</v>
      </c>
      <c r="I88" s="205">
        <f t="shared" si="105"/>
        <v>-17903.073579954726</v>
      </c>
      <c r="J88" s="205">
        <f t="shared" si="106"/>
        <v>-11082.706601207246</v>
      </c>
      <c r="K88" s="205">
        <f t="shared" si="121"/>
        <v>-6820.3669787474792</v>
      </c>
      <c r="L88" s="205">
        <f t="shared" si="122"/>
        <v>3317991.6133834263</v>
      </c>
      <c r="M88" s="199"/>
      <c r="N88" s="200">
        <f t="shared" ca="1" si="123"/>
        <v>0</v>
      </c>
      <c r="O88" s="509">
        <f t="shared" ca="1" si="107"/>
        <v>0</v>
      </c>
      <c r="P88" s="200">
        <f t="shared" ca="1" si="108"/>
        <v>0</v>
      </c>
      <c r="Q88" s="201">
        <f t="shared" si="101"/>
        <v>11</v>
      </c>
      <c r="R88" s="202">
        <f t="shared" si="138"/>
        <v>41944</v>
      </c>
      <c r="S88" s="203">
        <f t="shared" si="124"/>
        <v>0.04</v>
      </c>
      <c r="T88" s="204" t="str">
        <f t="shared" ca="1" si="125"/>
        <v>I/O</v>
      </c>
      <c r="U88" s="205">
        <f t="shared" ca="1" si="126"/>
        <v>500000</v>
      </c>
      <c r="V88" s="205">
        <f t="shared" ca="1" si="109"/>
        <v>-1666.6666666666667</v>
      </c>
      <c r="W88" s="205">
        <f t="shared" ca="1" si="110"/>
        <v>-1666.6666666666667</v>
      </c>
      <c r="X88" s="205">
        <f t="shared" ca="1" si="127"/>
        <v>0</v>
      </c>
      <c r="Y88" s="205">
        <f t="shared" ca="1" si="128"/>
        <v>500000</v>
      </c>
      <c r="Z88" s="199"/>
      <c r="AA88" s="200">
        <f t="shared" ca="1" si="116"/>
        <v>6</v>
      </c>
      <c r="AB88" s="509">
        <f t="shared" ca="1" si="111"/>
        <v>70</v>
      </c>
      <c r="AC88" s="200">
        <f t="shared" si="112"/>
        <v>6</v>
      </c>
      <c r="AD88" s="201">
        <f t="shared" si="102"/>
        <v>11</v>
      </c>
      <c r="AE88" s="202">
        <f t="shared" ca="1" si="139"/>
        <v>46539</v>
      </c>
      <c r="AF88" s="203">
        <f>IF(Dashboard!$R$24="Float",AF87+Dashboard!$R$24/12,AF87)</f>
        <v>0.06</v>
      </c>
      <c r="AG88" s="204">
        <f t="shared" si="129"/>
        <v>71</v>
      </c>
      <c r="AH88" s="205">
        <f t="shared" si="130"/>
        <v>0</v>
      </c>
      <c r="AI88" s="205">
        <f t="shared" si="113"/>
        <v>0</v>
      </c>
      <c r="AJ88" s="205">
        <f t="shared" si="114"/>
        <v>0</v>
      </c>
      <c r="AK88" s="205">
        <f t="shared" si="131"/>
        <v>0</v>
      </c>
      <c r="AL88" s="205">
        <f t="shared" si="132"/>
        <v>0</v>
      </c>
      <c r="AM88" s="199"/>
      <c r="AN88" s="200">
        <f t="shared" si="115"/>
        <v>7</v>
      </c>
      <c r="AO88" s="201">
        <f t="shared" si="103"/>
        <v>11</v>
      </c>
      <c r="AP88" s="202">
        <f t="shared" ca="1" si="140"/>
        <v>46539</v>
      </c>
      <c r="AQ88" s="203">
        <f>IF(Dashboard!$S$20="Float",AQ87+Dashboard!$T$20/12,AQ87)</f>
        <v>4.4999999999999998E-2</v>
      </c>
      <c r="AR88" s="204">
        <f t="shared" si="133"/>
        <v>71</v>
      </c>
      <c r="AS88" s="205">
        <f t="shared" si="134"/>
        <v>3199502.0994962165</v>
      </c>
      <c r="AT88" s="205">
        <f t="shared" si="117"/>
        <v>-18117.071455543861</v>
      </c>
      <c r="AU88" s="205">
        <f t="shared" si="118"/>
        <v>-11998.13287311081</v>
      </c>
      <c r="AV88" s="205">
        <f t="shared" si="135"/>
        <v>-6118.9385824330511</v>
      </c>
      <c r="AW88" s="205">
        <f t="shared" si="136"/>
        <v>3193383.1609137836</v>
      </c>
      <c r="AX88" s="199"/>
    </row>
    <row r="89" spans="1:50">
      <c r="A89" s="73"/>
      <c r="B89" s="570"/>
      <c r="C89" s="200">
        <f t="shared" si="104"/>
        <v>6</v>
      </c>
      <c r="D89" s="201">
        <f t="shared" si="100"/>
        <v>12</v>
      </c>
      <c r="E89" s="202">
        <f t="shared" ca="1" si="137"/>
        <v>46569</v>
      </c>
      <c r="F89" s="203">
        <f>+VLOOKUP($C89,Dashboard!$S$4:$T$13,2,0)</f>
        <v>0.04</v>
      </c>
      <c r="G89" s="204">
        <f t="shared" si="119"/>
        <v>72</v>
      </c>
      <c r="H89" s="205">
        <f t="shared" si="120"/>
        <v>3317991.6133834263</v>
      </c>
      <c r="I89" s="205">
        <f t="shared" si="105"/>
        <v>-17903.073579954726</v>
      </c>
      <c r="J89" s="205">
        <f t="shared" si="106"/>
        <v>-11059.972044611422</v>
      </c>
      <c r="K89" s="205">
        <f t="shared" si="121"/>
        <v>-6843.1015353433031</v>
      </c>
      <c r="L89" s="205">
        <f t="shared" si="122"/>
        <v>3311148.5118480832</v>
      </c>
      <c r="M89" s="199"/>
      <c r="N89" s="200">
        <f t="shared" ca="1" si="123"/>
        <v>0</v>
      </c>
      <c r="O89" s="509">
        <f t="shared" ca="1" si="107"/>
        <v>0</v>
      </c>
      <c r="P89" s="200">
        <f t="shared" ca="1" si="108"/>
        <v>0</v>
      </c>
      <c r="Q89" s="201">
        <f t="shared" si="101"/>
        <v>12</v>
      </c>
      <c r="R89" s="202">
        <f t="shared" si="138"/>
        <v>41974</v>
      </c>
      <c r="S89" s="203">
        <f t="shared" si="124"/>
        <v>0.04</v>
      </c>
      <c r="T89" s="204" t="str">
        <f t="shared" ca="1" si="125"/>
        <v>I/O</v>
      </c>
      <c r="U89" s="205">
        <f t="shared" ca="1" si="126"/>
        <v>500000</v>
      </c>
      <c r="V89" s="205">
        <f t="shared" ca="1" si="109"/>
        <v>-1666.6666666666667</v>
      </c>
      <c r="W89" s="205">
        <f t="shared" ca="1" si="110"/>
        <v>-1666.6666666666667</v>
      </c>
      <c r="X89" s="205">
        <f t="shared" ca="1" si="127"/>
        <v>0</v>
      </c>
      <c r="Y89" s="205">
        <f t="shared" ca="1" si="128"/>
        <v>500000</v>
      </c>
      <c r="Z89" s="199"/>
      <c r="AA89" s="200">
        <f t="shared" ca="1" si="116"/>
        <v>6</v>
      </c>
      <c r="AB89" s="509">
        <f t="shared" ca="1" si="111"/>
        <v>71</v>
      </c>
      <c r="AC89" s="200">
        <f t="shared" si="112"/>
        <v>6</v>
      </c>
      <c r="AD89" s="201">
        <f t="shared" si="102"/>
        <v>12</v>
      </c>
      <c r="AE89" s="202">
        <f t="shared" ca="1" si="139"/>
        <v>46569</v>
      </c>
      <c r="AF89" s="203">
        <f>IF(Dashboard!$R$24="Float",AF88+Dashboard!$R$24/12,AF88)</f>
        <v>0.06</v>
      </c>
      <c r="AG89" s="204">
        <f t="shared" si="129"/>
        <v>72</v>
      </c>
      <c r="AH89" s="205">
        <f t="shared" si="130"/>
        <v>0</v>
      </c>
      <c r="AI89" s="205">
        <f t="shared" si="113"/>
        <v>0</v>
      </c>
      <c r="AJ89" s="205">
        <f t="shared" si="114"/>
        <v>0</v>
      </c>
      <c r="AK89" s="205">
        <f t="shared" si="131"/>
        <v>0</v>
      </c>
      <c r="AL89" s="205">
        <f t="shared" si="132"/>
        <v>0</v>
      </c>
      <c r="AM89" s="199"/>
      <c r="AN89" s="200">
        <f t="shared" si="115"/>
        <v>7</v>
      </c>
      <c r="AO89" s="201">
        <f t="shared" si="103"/>
        <v>12</v>
      </c>
      <c r="AP89" s="202">
        <f t="shared" ca="1" si="140"/>
        <v>46569</v>
      </c>
      <c r="AQ89" s="203">
        <f>IF(Dashboard!$S$20="Float",AQ88+Dashboard!$T$20/12,AQ88)</f>
        <v>4.4999999999999998E-2</v>
      </c>
      <c r="AR89" s="204">
        <f t="shared" si="133"/>
        <v>72</v>
      </c>
      <c r="AS89" s="205">
        <f t="shared" si="134"/>
        <v>3193383.1609137836</v>
      </c>
      <c r="AT89" s="205">
        <f t="shared" si="117"/>
        <v>-18117.071455543864</v>
      </c>
      <c r="AU89" s="205">
        <f t="shared" si="118"/>
        <v>-11975.186853426689</v>
      </c>
      <c r="AV89" s="205">
        <f t="shared" si="135"/>
        <v>-6141.8846021171757</v>
      </c>
      <c r="AW89" s="205">
        <f t="shared" si="136"/>
        <v>3187241.2763116662</v>
      </c>
      <c r="AX89" s="199"/>
    </row>
    <row r="90" spans="1:50">
      <c r="A90" s="73"/>
      <c r="B90" s="571">
        <f>+C90</f>
        <v>7</v>
      </c>
      <c r="C90" s="16">
        <f t="shared" ref="C90" si="141">+C89+1</f>
        <v>7</v>
      </c>
      <c r="D90" s="17">
        <v>1</v>
      </c>
      <c r="E90" s="18">
        <f t="shared" ca="1" si="137"/>
        <v>46600</v>
      </c>
      <c r="F90" s="10">
        <f>+VLOOKUP($C90,Dashboard!$S$4:$T$13,2,0)</f>
        <v>0.04</v>
      </c>
      <c r="G90" s="14">
        <f t="shared" si="119"/>
        <v>73</v>
      </c>
      <c r="H90" s="5">
        <f t="shared" si="120"/>
        <v>3311148.5118480832</v>
      </c>
      <c r="I90" s="5">
        <f t="shared" si="105"/>
        <v>-17903.073579954729</v>
      </c>
      <c r="J90" s="5">
        <f t="shared" si="106"/>
        <v>-11037.161706160279</v>
      </c>
      <c r="K90" s="5">
        <f t="shared" si="121"/>
        <v>-6865.91187379445</v>
      </c>
      <c r="L90" s="5">
        <f t="shared" si="122"/>
        <v>3304282.5999742886</v>
      </c>
      <c r="M90" s="199"/>
      <c r="N90" s="16">
        <f t="shared" ca="1" si="123"/>
        <v>0</v>
      </c>
      <c r="O90" s="508">
        <f t="shared" ca="1" si="107"/>
        <v>0</v>
      </c>
      <c r="P90" s="16">
        <f t="shared" ca="1" si="108"/>
        <v>0</v>
      </c>
      <c r="Q90" s="17">
        <v>1</v>
      </c>
      <c r="R90" s="18">
        <f t="shared" si="138"/>
        <v>42005</v>
      </c>
      <c r="S90" s="10">
        <f t="shared" si="124"/>
        <v>0.04</v>
      </c>
      <c r="T90" s="14" t="str">
        <f t="shared" ca="1" si="125"/>
        <v>I/O</v>
      </c>
      <c r="U90" s="5">
        <f t="shared" ca="1" si="126"/>
        <v>500000</v>
      </c>
      <c r="V90" s="5">
        <f t="shared" ca="1" si="109"/>
        <v>-1666.6666666666667</v>
      </c>
      <c r="W90" s="5">
        <f t="shared" ca="1" si="110"/>
        <v>-1666.6666666666667</v>
      </c>
      <c r="X90" s="5">
        <f t="shared" ca="1" si="127"/>
        <v>0</v>
      </c>
      <c r="Y90" s="5">
        <f t="shared" ca="1" si="128"/>
        <v>500000</v>
      </c>
      <c r="Z90" s="199"/>
      <c r="AA90" s="16">
        <f t="shared" ca="1" si="116"/>
        <v>6</v>
      </c>
      <c r="AB90" s="508">
        <f t="shared" ca="1" si="111"/>
        <v>72</v>
      </c>
      <c r="AC90" s="16">
        <f t="shared" ref="AC90" si="142">+AC89+1</f>
        <v>7</v>
      </c>
      <c r="AD90" s="17">
        <v>1</v>
      </c>
      <c r="AE90" s="18">
        <f t="shared" ca="1" si="139"/>
        <v>46600</v>
      </c>
      <c r="AF90" s="10">
        <f>IF(Dashboard!$R$24="Float",AF89+Dashboard!$R$24/12,AF89)</f>
        <v>0.06</v>
      </c>
      <c r="AG90" s="14">
        <f t="shared" si="129"/>
        <v>73</v>
      </c>
      <c r="AH90" s="5">
        <f t="shared" si="130"/>
        <v>0</v>
      </c>
      <c r="AI90" s="5">
        <f t="shared" si="113"/>
        <v>0</v>
      </c>
      <c r="AJ90" s="5">
        <f t="shared" si="114"/>
        <v>0</v>
      </c>
      <c r="AK90" s="5">
        <f t="shared" si="131"/>
        <v>0</v>
      </c>
      <c r="AL90" s="5">
        <f t="shared" si="132"/>
        <v>0</v>
      </c>
      <c r="AM90" s="199"/>
      <c r="AN90" s="16">
        <f t="shared" ref="AN90" si="143">+AN89+1</f>
        <v>8</v>
      </c>
      <c r="AO90" s="17">
        <v>1</v>
      </c>
      <c r="AP90" s="18">
        <f t="shared" ca="1" si="140"/>
        <v>46600</v>
      </c>
      <c r="AQ90" s="10">
        <f>IF(Dashboard!$S$20="Float",AQ89+Dashboard!$T$20/12,AQ89)</f>
        <v>4.4999999999999998E-2</v>
      </c>
      <c r="AR90" s="14">
        <f t="shared" si="133"/>
        <v>73</v>
      </c>
      <c r="AS90" s="5">
        <f t="shared" si="134"/>
        <v>3187241.2763116662</v>
      </c>
      <c r="AT90" s="5">
        <f t="shared" si="117"/>
        <v>-18117.071455543861</v>
      </c>
      <c r="AU90" s="5">
        <f t="shared" si="118"/>
        <v>-11952.154786168749</v>
      </c>
      <c r="AV90" s="5">
        <f t="shared" si="135"/>
        <v>-6164.9166693751122</v>
      </c>
      <c r="AW90" s="5">
        <f t="shared" si="136"/>
        <v>3181076.359642291</v>
      </c>
      <c r="AX90" s="199"/>
    </row>
    <row r="91" spans="1:50">
      <c r="A91" s="73"/>
      <c r="B91" s="572"/>
      <c r="C91" s="16">
        <f>+C90</f>
        <v>7</v>
      </c>
      <c r="D91" s="17">
        <f>+D90+1</f>
        <v>2</v>
      </c>
      <c r="E91" s="18">
        <f t="shared" ca="1" si="137"/>
        <v>46631</v>
      </c>
      <c r="F91" s="10">
        <f>+VLOOKUP($C91,Dashboard!$S$4:$T$13,2,0)</f>
        <v>0.04</v>
      </c>
      <c r="G91" s="14">
        <f t="shared" si="119"/>
        <v>74</v>
      </c>
      <c r="H91" s="5">
        <f t="shared" si="120"/>
        <v>3304282.5999742886</v>
      </c>
      <c r="I91" s="5">
        <f t="shared" si="105"/>
        <v>-17903.073579954729</v>
      </c>
      <c r="J91" s="5">
        <f t="shared" si="106"/>
        <v>-11014.275333247628</v>
      </c>
      <c r="K91" s="5">
        <f t="shared" si="121"/>
        <v>-6888.7982467071015</v>
      </c>
      <c r="L91" s="5">
        <f t="shared" si="122"/>
        <v>3297393.8017275813</v>
      </c>
      <c r="M91" s="199"/>
      <c r="N91" s="16">
        <f t="shared" ca="1" si="123"/>
        <v>0</v>
      </c>
      <c r="O91" s="508">
        <f t="shared" ca="1" si="107"/>
        <v>0</v>
      </c>
      <c r="P91" s="16">
        <f t="shared" ca="1" si="108"/>
        <v>0</v>
      </c>
      <c r="Q91" s="17">
        <f>+Q90+1</f>
        <v>2</v>
      </c>
      <c r="R91" s="18">
        <f t="shared" si="138"/>
        <v>42036</v>
      </c>
      <c r="S91" s="10">
        <f t="shared" si="124"/>
        <v>0.04</v>
      </c>
      <c r="T91" s="14" t="str">
        <f t="shared" ca="1" si="125"/>
        <v>I/O</v>
      </c>
      <c r="U91" s="5">
        <f t="shared" ca="1" si="126"/>
        <v>500000</v>
      </c>
      <c r="V91" s="5">
        <f t="shared" ca="1" si="109"/>
        <v>-1666.6666666666667</v>
      </c>
      <c r="W91" s="5">
        <f t="shared" ca="1" si="110"/>
        <v>-1666.6666666666667</v>
      </c>
      <c r="X91" s="5">
        <f t="shared" ca="1" si="127"/>
        <v>0</v>
      </c>
      <c r="Y91" s="5">
        <f t="shared" ca="1" si="128"/>
        <v>500000</v>
      </c>
      <c r="Z91" s="199"/>
      <c r="AA91" s="16">
        <f t="shared" ca="1" si="116"/>
        <v>7</v>
      </c>
      <c r="AB91" s="508">
        <f t="shared" ca="1" si="111"/>
        <v>73</v>
      </c>
      <c r="AC91" s="16">
        <f>+AC90</f>
        <v>7</v>
      </c>
      <c r="AD91" s="17">
        <f>+AD90+1</f>
        <v>2</v>
      </c>
      <c r="AE91" s="18">
        <f t="shared" ca="1" si="139"/>
        <v>46631</v>
      </c>
      <c r="AF91" s="10">
        <f>IF(Dashboard!$R$24="Float",AF90+Dashboard!$R$24/12,AF90)</f>
        <v>0.06</v>
      </c>
      <c r="AG91" s="14">
        <f t="shared" si="129"/>
        <v>74</v>
      </c>
      <c r="AH91" s="5">
        <f t="shared" si="130"/>
        <v>0</v>
      </c>
      <c r="AI91" s="5">
        <f t="shared" si="113"/>
        <v>0</v>
      </c>
      <c r="AJ91" s="5">
        <f t="shared" si="114"/>
        <v>0</v>
      </c>
      <c r="AK91" s="5">
        <f t="shared" si="131"/>
        <v>0</v>
      </c>
      <c r="AL91" s="5">
        <f t="shared" si="132"/>
        <v>0</v>
      </c>
      <c r="AM91" s="199"/>
      <c r="AN91" s="16">
        <f>+AN90</f>
        <v>8</v>
      </c>
      <c r="AO91" s="17">
        <f>+AO90+1</f>
        <v>2</v>
      </c>
      <c r="AP91" s="18">
        <f t="shared" ca="1" si="140"/>
        <v>46631</v>
      </c>
      <c r="AQ91" s="10">
        <f>IF(Dashboard!$S$20="Float",AQ90+Dashboard!$T$20/12,AQ90)</f>
        <v>4.4999999999999998E-2</v>
      </c>
      <c r="AR91" s="14">
        <f t="shared" si="133"/>
        <v>74</v>
      </c>
      <c r="AS91" s="5">
        <f t="shared" si="134"/>
        <v>3181076.359642291</v>
      </c>
      <c r="AT91" s="5">
        <f t="shared" si="117"/>
        <v>-18117.071455543861</v>
      </c>
      <c r="AU91" s="5">
        <f t="shared" si="118"/>
        <v>-11929.03634865859</v>
      </c>
      <c r="AV91" s="5">
        <f t="shared" si="135"/>
        <v>-6188.0351068852706</v>
      </c>
      <c r="AW91" s="5">
        <f t="shared" si="136"/>
        <v>3174888.3245354057</v>
      </c>
      <c r="AX91" s="199"/>
    </row>
    <row r="92" spans="1:50">
      <c r="A92" s="73"/>
      <c r="B92" s="572"/>
      <c r="C92" s="16">
        <f>+C91</f>
        <v>7</v>
      </c>
      <c r="D92" s="17">
        <f>+D91+1</f>
        <v>3</v>
      </c>
      <c r="E92" s="18">
        <f t="shared" ca="1" si="137"/>
        <v>46661</v>
      </c>
      <c r="F92" s="10">
        <f>+VLOOKUP($C92,Dashboard!$S$4:$T$13,2,0)</f>
        <v>0.04</v>
      </c>
      <c r="G92" s="14">
        <f t="shared" si="119"/>
        <v>75</v>
      </c>
      <c r="H92" s="5">
        <f t="shared" si="120"/>
        <v>3297393.8017275813</v>
      </c>
      <c r="I92" s="5">
        <f t="shared" si="105"/>
        <v>-17903.073579954726</v>
      </c>
      <c r="J92" s="5">
        <f t="shared" si="106"/>
        <v>-10991.312672425271</v>
      </c>
      <c r="K92" s="5">
        <f t="shared" si="121"/>
        <v>-6911.7609075294549</v>
      </c>
      <c r="L92" s="5">
        <f t="shared" si="122"/>
        <v>3290482.0408200519</v>
      </c>
      <c r="M92" s="199"/>
      <c r="N92" s="16">
        <f t="shared" ca="1" si="123"/>
        <v>0</v>
      </c>
      <c r="O92" s="508">
        <f t="shared" ca="1" si="107"/>
        <v>0</v>
      </c>
      <c r="P92" s="16">
        <f t="shared" ca="1" si="108"/>
        <v>0</v>
      </c>
      <c r="Q92" s="17">
        <f>+Q91+1</f>
        <v>3</v>
      </c>
      <c r="R92" s="18">
        <f t="shared" si="138"/>
        <v>42064</v>
      </c>
      <c r="S92" s="10">
        <f t="shared" si="124"/>
        <v>0.04</v>
      </c>
      <c r="T92" s="14" t="str">
        <f t="shared" ca="1" si="125"/>
        <v>I/O</v>
      </c>
      <c r="U92" s="5">
        <f t="shared" ca="1" si="126"/>
        <v>500000</v>
      </c>
      <c r="V92" s="5">
        <f t="shared" ca="1" si="109"/>
        <v>-1666.6666666666667</v>
      </c>
      <c r="W92" s="5">
        <f t="shared" ca="1" si="110"/>
        <v>-1666.6666666666667</v>
      </c>
      <c r="X92" s="5">
        <f t="shared" ca="1" si="127"/>
        <v>0</v>
      </c>
      <c r="Y92" s="5">
        <f t="shared" ca="1" si="128"/>
        <v>500000</v>
      </c>
      <c r="Z92" s="199"/>
      <c r="AA92" s="16">
        <f t="shared" ca="1" si="116"/>
        <v>7</v>
      </c>
      <c r="AB92" s="508">
        <f t="shared" ca="1" si="111"/>
        <v>74</v>
      </c>
      <c r="AC92" s="16">
        <f>+AC91</f>
        <v>7</v>
      </c>
      <c r="AD92" s="17">
        <f>+AD91+1</f>
        <v>3</v>
      </c>
      <c r="AE92" s="18">
        <f t="shared" ca="1" si="139"/>
        <v>46661</v>
      </c>
      <c r="AF92" s="10">
        <f>IF(Dashboard!$R$24="Float",AF91+Dashboard!$R$24/12,AF91)</f>
        <v>0.06</v>
      </c>
      <c r="AG92" s="14">
        <f t="shared" si="129"/>
        <v>75</v>
      </c>
      <c r="AH92" s="5">
        <f t="shared" si="130"/>
        <v>0</v>
      </c>
      <c r="AI92" s="5">
        <f t="shared" si="113"/>
        <v>0</v>
      </c>
      <c r="AJ92" s="5">
        <f t="shared" si="114"/>
        <v>0</v>
      </c>
      <c r="AK92" s="5">
        <f t="shared" si="131"/>
        <v>0</v>
      </c>
      <c r="AL92" s="5">
        <f t="shared" si="132"/>
        <v>0</v>
      </c>
      <c r="AM92" s="199"/>
      <c r="AN92" s="16">
        <f>+AN91</f>
        <v>8</v>
      </c>
      <c r="AO92" s="17">
        <f>+AO91+1</f>
        <v>3</v>
      </c>
      <c r="AP92" s="18">
        <f t="shared" ca="1" si="140"/>
        <v>46661</v>
      </c>
      <c r="AQ92" s="10">
        <f>IF(Dashboard!$S$20="Float",AQ91+Dashboard!$T$20/12,AQ91)</f>
        <v>4.4999999999999998E-2</v>
      </c>
      <c r="AR92" s="14">
        <f t="shared" si="133"/>
        <v>75</v>
      </c>
      <c r="AS92" s="5">
        <f t="shared" si="134"/>
        <v>3174888.3245354057</v>
      </c>
      <c r="AT92" s="5">
        <f t="shared" si="117"/>
        <v>-18117.071455543857</v>
      </c>
      <c r="AU92" s="5">
        <f t="shared" si="118"/>
        <v>-11905.831217007772</v>
      </c>
      <c r="AV92" s="5">
        <f t="shared" si="135"/>
        <v>-6211.2402385360856</v>
      </c>
      <c r="AW92" s="5">
        <f t="shared" si="136"/>
        <v>3168677.0842968696</v>
      </c>
      <c r="AX92" s="199"/>
    </row>
    <row r="93" spans="1:50">
      <c r="A93" s="73"/>
      <c r="B93" s="572"/>
      <c r="C93" s="16">
        <f>+C92</f>
        <v>7</v>
      </c>
      <c r="D93" s="17">
        <f t="shared" ref="D93:D101" si="144">+D92+1</f>
        <v>4</v>
      </c>
      <c r="E93" s="18">
        <f t="shared" ca="1" si="137"/>
        <v>46692</v>
      </c>
      <c r="F93" s="10">
        <f>+VLOOKUP($C93,Dashboard!$S$4:$T$13,2,0)</f>
        <v>0.04</v>
      </c>
      <c r="G93" s="14">
        <f t="shared" si="119"/>
        <v>76</v>
      </c>
      <c r="H93" s="5">
        <f t="shared" si="120"/>
        <v>3290482.0408200519</v>
      </c>
      <c r="I93" s="5">
        <f t="shared" si="105"/>
        <v>-17903.073579954726</v>
      </c>
      <c r="J93" s="5">
        <f t="shared" si="106"/>
        <v>-10968.273469400172</v>
      </c>
      <c r="K93" s="5">
        <f t="shared" si="121"/>
        <v>-6934.8001105545536</v>
      </c>
      <c r="L93" s="5">
        <f t="shared" si="122"/>
        <v>3283547.2407094976</v>
      </c>
      <c r="M93" s="199"/>
      <c r="N93" s="16">
        <f t="shared" ca="1" si="123"/>
        <v>0</v>
      </c>
      <c r="O93" s="508">
        <f t="shared" ca="1" si="107"/>
        <v>0</v>
      </c>
      <c r="P93" s="16">
        <f t="shared" ca="1" si="108"/>
        <v>0</v>
      </c>
      <c r="Q93" s="17">
        <f t="shared" ref="Q93:Q101" si="145">+Q92+1</f>
        <v>4</v>
      </c>
      <c r="R93" s="18">
        <f t="shared" si="138"/>
        <v>42095</v>
      </c>
      <c r="S93" s="10">
        <f t="shared" si="124"/>
        <v>0.04</v>
      </c>
      <c r="T93" s="14" t="str">
        <f t="shared" ca="1" si="125"/>
        <v>I/O</v>
      </c>
      <c r="U93" s="5">
        <f t="shared" ca="1" si="126"/>
        <v>500000</v>
      </c>
      <c r="V93" s="5">
        <f t="shared" ca="1" si="109"/>
        <v>-1666.6666666666667</v>
      </c>
      <c r="W93" s="5">
        <f t="shared" ca="1" si="110"/>
        <v>-1666.6666666666667</v>
      </c>
      <c r="X93" s="5">
        <f t="shared" ca="1" si="127"/>
        <v>0</v>
      </c>
      <c r="Y93" s="5">
        <f t="shared" ca="1" si="128"/>
        <v>500000</v>
      </c>
      <c r="Z93" s="199"/>
      <c r="AA93" s="16">
        <f t="shared" ca="1" si="116"/>
        <v>7</v>
      </c>
      <c r="AB93" s="508">
        <f t="shared" ca="1" si="111"/>
        <v>75</v>
      </c>
      <c r="AC93" s="16">
        <f>+AC92</f>
        <v>7</v>
      </c>
      <c r="AD93" s="17">
        <f t="shared" ref="AD93:AD101" si="146">+AD92+1</f>
        <v>4</v>
      </c>
      <c r="AE93" s="18">
        <f t="shared" ca="1" si="139"/>
        <v>46692</v>
      </c>
      <c r="AF93" s="10">
        <f>IF(Dashboard!$R$24="Float",AF92+Dashboard!$R$24/12,AF92)</f>
        <v>0.06</v>
      </c>
      <c r="AG93" s="14">
        <f t="shared" si="129"/>
        <v>76</v>
      </c>
      <c r="AH93" s="5">
        <f t="shared" si="130"/>
        <v>0</v>
      </c>
      <c r="AI93" s="5">
        <f t="shared" si="113"/>
        <v>0</v>
      </c>
      <c r="AJ93" s="5">
        <f t="shared" si="114"/>
        <v>0</v>
      </c>
      <c r="AK93" s="5">
        <f t="shared" si="131"/>
        <v>0</v>
      </c>
      <c r="AL93" s="5">
        <f t="shared" si="132"/>
        <v>0</v>
      </c>
      <c r="AM93" s="199"/>
      <c r="AN93" s="16">
        <f>+AN92</f>
        <v>8</v>
      </c>
      <c r="AO93" s="17">
        <f t="shared" ref="AO93:AO101" si="147">+AO92+1</f>
        <v>4</v>
      </c>
      <c r="AP93" s="18">
        <f t="shared" ca="1" si="140"/>
        <v>46692</v>
      </c>
      <c r="AQ93" s="10">
        <f>IF(Dashboard!$S$20="Float",AQ92+Dashboard!$T$20/12,AQ92)</f>
        <v>4.4999999999999998E-2</v>
      </c>
      <c r="AR93" s="14">
        <f t="shared" si="133"/>
        <v>76</v>
      </c>
      <c r="AS93" s="5">
        <f t="shared" si="134"/>
        <v>3168677.0842968696</v>
      </c>
      <c r="AT93" s="5">
        <f t="shared" si="117"/>
        <v>-18117.071455543857</v>
      </c>
      <c r="AU93" s="5">
        <f t="shared" si="118"/>
        <v>-11882.539066113261</v>
      </c>
      <c r="AV93" s="5">
        <f t="shared" si="135"/>
        <v>-6234.5323894305966</v>
      </c>
      <c r="AW93" s="5">
        <f t="shared" si="136"/>
        <v>3162442.5519074388</v>
      </c>
      <c r="AX93" s="199"/>
    </row>
    <row r="94" spans="1:50">
      <c r="A94" s="73"/>
      <c r="B94" s="572"/>
      <c r="C94" s="16">
        <f t="shared" ref="C94:C101" si="148">+C93</f>
        <v>7</v>
      </c>
      <c r="D94" s="17">
        <f t="shared" si="144"/>
        <v>5</v>
      </c>
      <c r="E94" s="18">
        <f t="shared" ca="1" si="137"/>
        <v>46722</v>
      </c>
      <c r="F94" s="10">
        <f>+VLOOKUP($C94,Dashboard!$S$4:$T$13,2,0)</f>
        <v>0.04</v>
      </c>
      <c r="G94" s="14">
        <f t="shared" si="119"/>
        <v>77</v>
      </c>
      <c r="H94" s="5">
        <f t="shared" si="120"/>
        <v>3283547.2407094976</v>
      </c>
      <c r="I94" s="5">
        <f t="shared" si="105"/>
        <v>-17903.073579954729</v>
      </c>
      <c r="J94" s="5">
        <f t="shared" si="106"/>
        <v>-10945.157469031657</v>
      </c>
      <c r="K94" s="5">
        <f t="shared" si="121"/>
        <v>-6957.9161109230718</v>
      </c>
      <c r="L94" s="5">
        <f t="shared" si="122"/>
        <v>3276589.3245985745</v>
      </c>
      <c r="M94" s="199"/>
      <c r="N94" s="16">
        <f t="shared" ca="1" si="123"/>
        <v>0</v>
      </c>
      <c r="O94" s="508">
        <f t="shared" ca="1" si="107"/>
        <v>0</v>
      </c>
      <c r="P94" s="16">
        <f t="shared" ca="1" si="108"/>
        <v>0</v>
      </c>
      <c r="Q94" s="17">
        <f t="shared" si="145"/>
        <v>5</v>
      </c>
      <c r="R94" s="18">
        <f t="shared" si="138"/>
        <v>42125</v>
      </c>
      <c r="S94" s="10">
        <f t="shared" si="124"/>
        <v>0.04</v>
      </c>
      <c r="T94" s="14" t="str">
        <f t="shared" ca="1" si="125"/>
        <v>I/O</v>
      </c>
      <c r="U94" s="5">
        <f t="shared" ca="1" si="126"/>
        <v>500000</v>
      </c>
      <c r="V94" s="5">
        <f t="shared" ca="1" si="109"/>
        <v>-1666.6666666666667</v>
      </c>
      <c r="W94" s="5">
        <f t="shared" ca="1" si="110"/>
        <v>-1666.6666666666667</v>
      </c>
      <c r="X94" s="5">
        <f t="shared" ca="1" si="127"/>
        <v>0</v>
      </c>
      <c r="Y94" s="5">
        <f t="shared" ca="1" si="128"/>
        <v>500000</v>
      </c>
      <c r="Z94" s="199"/>
      <c r="AA94" s="16">
        <f t="shared" ca="1" si="116"/>
        <v>7</v>
      </c>
      <c r="AB94" s="508">
        <f t="shared" ca="1" si="111"/>
        <v>76</v>
      </c>
      <c r="AC94" s="16">
        <f t="shared" ref="AC94:AC101" si="149">+AC93</f>
        <v>7</v>
      </c>
      <c r="AD94" s="17">
        <f t="shared" si="146"/>
        <v>5</v>
      </c>
      <c r="AE94" s="18">
        <f t="shared" ca="1" si="139"/>
        <v>46722</v>
      </c>
      <c r="AF94" s="10">
        <f>IF(Dashboard!$R$24="Float",AF93+Dashboard!$R$24/12,AF93)</f>
        <v>0.06</v>
      </c>
      <c r="AG94" s="14">
        <f t="shared" si="129"/>
        <v>77</v>
      </c>
      <c r="AH94" s="5">
        <f t="shared" si="130"/>
        <v>0</v>
      </c>
      <c r="AI94" s="5">
        <f t="shared" si="113"/>
        <v>0</v>
      </c>
      <c r="AJ94" s="5">
        <f t="shared" si="114"/>
        <v>0</v>
      </c>
      <c r="AK94" s="5">
        <f t="shared" si="131"/>
        <v>0</v>
      </c>
      <c r="AL94" s="5">
        <f t="shared" si="132"/>
        <v>0</v>
      </c>
      <c r="AM94" s="199"/>
      <c r="AN94" s="16">
        <f t="shared" ref="AN94:AN101" si="150">+AN93</f>
        <v>8</v>
      </c>
      <c r="AO94" s="17">
        <f t="shared" si="147"/>
        <v>5</v>
      </c>
      <c r="AP94" s="18">
        <f t="shared" ca="1" si="140"/>
        <v>46722</v>
      </c>
      <c r="AQ94" s="10">
        <f>IF(Dashboard!$S$20="Float",AQ93+Dashboard!$T$20/12,AQ93)</f>
        <v>4.4999999999999998E-2</v>
      </c>
      <c r="AR94" s="14">
        <f t="shared" si="133"/>
        <v>77</v>
      </c>
      <c r="AS94" s="5">
        <f t="shared" si="134"/>
        <v>3162442.5519074388</v>
      </c>
      <c r="AT94" s="5">
        <f t="shared" si="117"/>
        <v>-18117.071455543857</v>
      </c>
      <c r="AU94" s="5">
        <f t="shared" si="118"/>
        <v>-11859.159569652895</v>
      </c>
      <c r="AV94" s="5">
        <f t="shared" si="135"/>
        <v>-6257.9118858909624</v>
      </c>
      <c r="AW94" s="5">
        <f t="shared" si="136"/>
        <v>3156184.6400215477</v>
      </c>
      <c r="AX94" s="199"/>
    </row>
    <row r="95" spans="1:50">
      <c r="A95" s="73"/>
      <c r="B95" s="572"/>
      <c r="C95" s="16">
        <f t="shared" si="148"/>
        <v>7</v>
      </c>
      <c r="D95" s="17">
        <f t="shared" si="144"/>
        <v>6</v>
      </c>
      <c r="E95" s="18">
        <f t="shared" ca="1" si="137"/>
        <v>46753</v>
      </c>
      <c r="F95" s="10">
        <f>+VLOOKUP($C95,Dashboard!$S$4:$T$13,2,0)</f>
        <v>0.04</v>
      </c>
      <c r="G95" s="14">
        <f t="shared" si="119"/>
        <v>78</v>
      </c>
      <c r="H95" s="5">
        <f t="shared" si="120"/>
        <v>3276589.3245985745</v>
      </c>
      <c r="I95" s="5">
        <f t="shared" si="105"/>
        <v>-17903.073579954729</v>
      </c>
      <c r="J95" s="5">
        <f t="shared" si="106"/>
        <v>-10921.964415328583</v>
      </c>
      <c r="K95" s="5">
        <f t="shared" si="121"/>
        <v>-6981.1091646261466</v>
      </c>
      <c r="L95" s="5">
        <f t="shared" si="122"/>
        <v>3269608.2154339482</v>
      </c>
      <c r="M95" s="199"/>
      <c r="N95" s="16">
        <f t="shared" ca="1" si="123"/>
        <v>0</v>
      </c>
      <c r="O95" s="508">
        <f t="shared" ca="1" si="107"/>
        <v>0</v>
      </c>
      <c r="P95" s="16">
        <f t="shared" ca="1" si="108"/>
        <v>0</v>
      </c>
      <c r="Q95" s="17">
        <f t="shared" si="145"/>
        <v>6</v>
      </c>
      <c r="R95" s="18">
        <f t="shared" si="138"/>
        <v>42156</v>
      </c>
      <c r="S95" s="10">
        <f t="shared" si="124"/>
        <v>0.04</v>
      </c>
      <c r="T95" s="14" t="str">
        <f t="shared" ca="1" si="125"/>
        <v>I/O</v>
      </c>
      <c r="U95" s="5">
        <f t="shared" ca="1" si="126"/>
        <v>500000</v>
      </c>
      <c r="V95" s="5">
        <f t="shared" ca="1" si="109"/>
        <v>-1666.6666666666667</v>
      </c>
      <c r="W95" s="5">
        <f t="shared" ca="1" si="110"/>
        <v>-1666.6666666666667</v>
      </c>
      <c r="X95" s="5">
        <f t="shared" ca="1" si="127"/>
        <v>0</v>
      </c>
      <c r="Y95" s="5">
        <f t="shared" ca="1" si="128"/>
        <v>500000</v>
      </c>
      <c r="Z95" s="199"/>
      <c r="AA95" s="16">
        <f t="shared" ca="1" si="116"/>
        <v>7</v>
      </c>
      <c r="AB95" s="508">
        <f t="shared" ca="1" si="111"/>
        <v>77</v>
      </c>
      <c r="AC95" s="16">
        <f t="shared" si="149"/>
        <v>7</v>
      </c>
      <c r="AD95" s="17">
        <f t="shared" si="146"/>
        <v>6</v>
      </c>
      <c r="AE95" s="18">
        <f t="shared" ca="1" si="139"/>
        <v>46753</v>
      </c>
      <c r="AF95" s="10">
        <f>IF(Dashboard!$R$24="Float",AF94+Dashboard!$R$24/12,AF94)</f>
        <v>0.06</v>
      </c>
      <c r="AG95" s="14">
        <f t="shared" si="129"/>
        <v>78</v>
      </c>
      <c r="AH95" s="5">
        <f t="shared" si="130"/>
        <v>0</v>
      </c>
      <c r="AI95" s="5">
        <f t="shared" si="113"/>
        <v>0</v>
      </c>
      <c r="AJ95" s="5">
        <f t="shared" si="114"/>
        <v>0</v>
      </c>
      <c r="AK95" s="5">
        <f t="shared" si="131"/>
        <v>0</v>
      </c>
      <c r="AL95" s="5">
        <f t="shared" si="132"/>
        <v>0</v>
      </c>
      <c r="AM95" s="199"/>
      <c r="AN95" s="16">
        <f t="shared" si="150"/>
        <v>8</v>
      </c>
      <c r="AO95" s="17">
        <f t="shared" si="147"/>
        <v>6</v>
      </c>
      <c r="AP95" s="18">
        <f t="shared" ca="1" si="140"/>
        <v>46753</v>
      </c>
      <c r="AQ95" s="10">
        <f>IF(Dashboard!$S$20="Float",AQ94+Dashboard!$T$20/12,AQ94)</f>
        <v>4.4999999999999998E-2</v>
      </c>
      <c r="AR95" s="14">
        <f t="shared" si="133"/>
        <v>78</v>
      </c>
      <c r="AS95" s="5">
        <f t="shared" si="134"/>
        <v>3156184.6400215477</v>
      </c>
      <c r="AT95" s="5">
        <f t="shared" si="117"/>
        <v>-18117.071455543857</v>
      </c>
      <c r="AU95" s="5">
        <f t="shared" si="118"/>
        <v>-11835.692400080805</v>
      </c>
      <c r="AV95" s="5">
        <f t="shared" si="135"/>
        <v>-6281.3790554630523</v>
      </c>
      <c r="AW95" s="5">
        <f t="shared" si="136"/>
        <v>3149903.2609660844</v>
      </c>
      <c r="AX95" s="199"/>
    </row>
    <row r="96" spans="1:50">
      <c r="A96" s="73"/>
      <c r="B96" s="572"/>
      <c r="C96" s="16">
        <f t="shared" si="148"/>
        <v>7</v>
      </c>
      <c r="D96" s="17">
        <f t="shared" si="144"/>
        <v>7</v>
      </c>
      <c r="E96" s="18">
        <f t="shared" ca="1" si="137"/>
        <v>46784</v>
      </c>
      <c r="F96" s="10">
        <f>+VLOOKUP($C96,Dashboard!$S$4:$T$13,2,0)</f>
        <v>0.04</v>
      </c>
      <c r="G96" s="14">
        <f t="shared" si="119"/>
        <v>79</v>
      </c>
      <c r="H96" s="5">
        <f t="shared" si="120"/>
        <v>3269608.2154339482</v>
      </c>
      <c r="I96" s="5">
        <f t="shared" si="105"/>
        <v>-17903.073579954729</v>
      </c>
      <c r="J96" s="5">
        <f t="shared" si="106"/>
        <v>-10898.694051446493</v>
      </c>
      <c r="K96" s="5">
        <f t="shared" si="121"/>
        <v>-7004.379528508236</v>
      </c>
      <c r="L96" s="5">
        <f t="shared" si="122"/>
        <v>3262603.8359054402</v>
      </c>
      <c r="M96" s="199"/>
      <c r="N96" s="16">
        <f t="shared" ca="1" si="123"/>
        <v>0</v>
      </c>
      <c r="O96" s="508">
        <f t="shared" ca="1" si="107"/>
        <v>0</v>
      </c>
      <c r="P96" s="16">
        <f t="shared" ca="1" si="108"/>
        <v>0</v>
      </c>
      <c r="Q96" s="17">
        <f t="shared" si="145"/>
        <v>7</v>
      </c>
      <c r="R96" s="18">
        <f t="shared" si="138"/>
        <v>42186</v>
      </c>
      <c r="S96" s="10">
        <f t="shared" si="124"/>
        <v>0.04</v>
      </c>
      <c r="T96" s="14" t="str">
        <f t="shared" ca="1" si="125"/>
        <v>I/O</v>
      </c>
      <c r="U96" s="5">
        <f t="shared" ca="1" si="126"/>
        <v>500000</v>
      </c>
      <c r="V96" s="5">
        <f t="shared" ca="1" si="109"/>
        <v>-1666.6666666666667</v>
      </c>
      <c r="W96" s="5">
        <f t="shared" ca="1" si="110"/>
        <v>-1666.6666666666667</v>
      </c>
      <c r="X96" s="5">
        <f t="shared" ca="1" si="127"/>
        <v>0</v>
      </c>
      <c r="Y96" s="5">
        <f t="shared" ca="1" si="128"/>
        <v>500000</v>
      </c>
      <c r="Z96" s="199"/>
      <c r="AA96" s="16">
        <f t="shared" ca="1" si="116"/>
        <v>7</v>
      </c>
      <c r="AB96" s="508">
        <f t="shared" ca="1" si="111"/>
        <v>78</v>
      </c>
      <c r="AC96" s="16">
        <f t="shared" si="149"/>
        <v>7</v>
      </c>
      <c r="AD96" s="17">
        <f t="shared" si="146"/>
        <v>7</v>
      </c>
      <c r="AE96" s="18">
        <f t="shared" ca="1" si="139"/>
        <v>46784</v>
      </c>
      <c r="AF96" s="10">
        <f>IF(Dashboard!$R$24="Float",AF95+Dashboard!$R$24/12,AF95)</f>
        <v>0.06</v>
      </c>
      <c r="AG96" s="14">
        <f t="shared" si="129"/>
        <v>79</v>
      </c>
      <c r="AH96" s="5">
        <f t="shared" si="130"/>
        <v>0</v>
      </c>
      <c r="AI96" s="5">
        <f t="shared" si="113"/>
        <v>0</v>
      </c>
      <c r="AJ96" s="5">
        <f t="shared" si="114"/>
        <v>0</v>
      </c>
      <c r="AK96" s="5">
        <f t="shared" si="131"/>
        <v>0</v>
      </c>
      <c r="AL96" s="5">
        <f t="shared" si="132"/>
        <v>0</v>
      </c>
      <c r="AM96" s="199"/>
      <c r="AN96" s="16">
        <f t="shared" si="150"/>
        <v>8</v>
      </c>
      <c r="AO96" s="17">
        <f t="shared" si="147"/>
        <v>7</v>
      </c>
      <c r="AP96" s="18">
        <f t="shared" ca="1" si="140"/>
        <v>46784</v>
      </c>
      <c r="AQ96" s="10">
        <f>IF(Dashboard!$S$20="Float",AQ95+Dashboard!$T$20/12,AQ95)</f>
        <v>4.4999999999999998E-2</v>
      </c>
      <c r="AR96" s="14">
        <f t="shared" si="133"/>
        <v>79</v>
      </c>
      <c r="AS96" s="5">
        <f t="shared" si="134"/>
        <v>3149903.2609660844</v>
      </c>
      <c r="AT96" s="5">
        <f t="shared" si="117"/>
        <v>-18117.071455543857</v>
      </c>
      <c r="AU96" s="5">
        <f t="shared" si="118"/>
        <v>-11812.137228622816</v>
      </c>
      <c r="AV96" s="5">
        <f t="shared" si="135"/>
        <v>-6304.934226921041</v>
      </c>
      <c r="AW96" s="5">
        <f t="shared" si="136"/>
        <v>3143598.3267391636</v>
      </c>
      <c r="AX96" s="199"/>
    </row>
    <row r="97" spans="1:50">
      <c r="A97" s="73"/>
      <c r="B97" s="572"/>
      <c r="C97" s="16">
        <f t="shared" si="148"/>
        <v>7</v>
      </c>
      <c r="D97" s="17">
        <f t="shared" si="144"/>
        <v>8</v>
      </c>
      <c r="E97" s="18">
        <f t="shared" ca="1" si="137"/>
        <v>46813</v>
      </c>
      <c r="F97" s="10">
        <f>+VLOOKUP($C97,Dashboard!$S$4:$T$13,2,0)</f>
        <v>0.04</v>
      </c>
      <c r="G97" s="14">
        <f t="shared" si="119"/>
        <v>80</v>
      </c>
      <c r="H97" s="5">
        <f t="shared" si="120"/>
        <v>3262603.8359054402</v>
      </c>
      <c r="I97" s="5">
        <f t="shared" si="105"/>
        <v>-17903.073579954733</v>
      </c>
      <c r="J97" s="5">
        <f t="shared" si="106"/>
        <v>-10875.3461196848</v>
      </c>
      <c r="K97" s="5">
        <f t="shared" si="121"/>
        <v>-7027.7274602699326</v>
      </c>
      <c r="L97" s="5">
        <f t="shared" si="122"/>
        <v>3255576.1084451703</v>
      </c>
      <c r="M97" s="199"/>
      <c r="N97" s="16">
        <f t="shared" ca="1" si="123"/>
        <v>0</v>
      </c>
      <c r="O97" s="508">
        <f t="shared" ca="1" si="107"/>
        <v>0</v>
      </c>
      <c r="P97" s="16">
        <f t="shared" ca="1" si="108"/>
        <v>0</v>
      </c>
      <c r="Q97" s="17">
        <f t="shared" si="145"/>
        <v>8</v>
      </c>
      <c r="R97" s="18">
        <f t="shared" si="138"/>
        <v>42217</v>
      </c>
      <c r="S97" s="10">
        <f t="shared" si="124"/>
        <v>0.04</v>
      </c>
      <c r="T97" s="14" t="str">
        <f t="shared" ca="1" si="125"/>
        <v>I/O</v>
      </c>
      <c r="U97" s="5">
        <f t="shared" ca="1" si="126"/>
        <v>500000</v>
      </c>
      <c r="V97" s="5">
        <f t="shared" ca="1" si="109"/>
        <v>-1666.6666666666667</v>
      </c>
      <c r="W97" s="5">
        <f t="shared" ca="1" si="110"/>
        <v>-1666.6666666666667</v>
      </c>
      <c r="X97" s="5">
        <f t="shared" ca="1" si="127"/>
        <v>0</v>
      </c>
      <c r="Y97" s="5">
        <f t="shared" ca="1" si="128"/>
        <v>500000</v>
      </c>
      <c r="Z97" s="199"/>
      <c r="AA97" s="16">
        <f t="shared" ca="1" si="116"/>
        <v>7</v>
      </c>
      <c r="AB97" s="508">
        <f t="shared" ca="1" si="111"/>
        <v>79</v>
      </c>
      <c r="AC97" s="16">
        <f t="shared" si="149"/>
        <v>7</v>
      </c>
      <c r="AD97" s="17">
        <f t="shared" si="146"/>
        <v>8</v>
      </c>
      <c r="AE97" s="18">
        <f t="shared" ca="1" si="139"/>
        <v>46813</v>
      </c>
      <c r="AF97" s="10">
        <f>IF(Dashboard!$R$24="Float",AF96+Dashboard!$R$24/12,AF96)</f>
        <v>0.06</v>
      </c>
      <c r="AG97" s="14">
        <f t="shared" si="129"/>
        <v>80</v>
      </c>
      <c r="AH97" s="5">
        <f t="shared" si="130"/>
        <v>0</v>
      </c>
      <c r="AI97" s="5">
        <f t="shared" si="113"/>
        <v>0</v>
      </c>
      <c r="AJ97" s="5">
        <f t="shared" si="114"/>
        <v>0</v>
      </c>
      <c r="AK97" s="5">
        <f t="shared" si="131"/>
        <v>0</v>
      </c>
      <c r="AL97" s="5">
        <f t="shared" si="132"/>
        <v>0</v>
      </c>
      <c r="AM97" s="199"/>
      <c r="AN97" s="16">
        <f t="shared" si="150"/>
        <v>8</v>
      </c>
      <c r="AO97" s="17">
        <f t="shared" si="147"/>
        <v>8</v>
      </c>
      <c r="AP97" s="18">
        <f t="shared" ca="1" si="140"/>
        <v>46813</v>
      </c>
      <c r="AQ97" s="10">
        <f>IF(Dashboard!$S$20="Float",AQ96+Dashboard!$T$20/12,AQ96)</f>
        <v>4.4999999999999998E-2</v>
      </c>
      <c r="AR97" s="14">
        <f t="shared" si="133"/>
        <v>80</v>
      </c>
      <c r="AS97" s="5">
        <f t="shared" si="134"/>
        <v>3143598.3267391636</v>
      </c>
      <c r="AT97" s="5">
        <f t="shared" si="117"/>
        <v>-18117.071455543857</v>
      </c>
      <c r="AU97" s="5">
        <f t="shared" si="118"/>
        <v>-11788.493725271865</v>
      </c>
      <c r="AV97" s="5">
        <f t="shared" si="135"/>
        <v>-6328.5777302719926</v>
      </c>
      <c r="AW97" s="5">
        <f t="shared" si="136"/>
        <v>3137269.7490088916</v>
      </c>
      <c r="AX97" s="199"/>
    </row>
    <row r="98" spans="1:50">
      <c r="A98" s="73"/>
      <c r="B98" s="572"/>
      <c r="C98" s="16">
        <f t="shared" si="148"/>
        <v>7</v>
      </c>
      <c r="D98" s="17">
        <f t="shared" si="144"/>
        <v>9</v>
      </c>
      <c r="E98" s="18">
        <f t="shared" ca="1" si="137"/>
        <v>46844</v>
      </c>
      <c r="F98" s="10">
        <f>+VLOOKUP($C98,Dashboard!$S$4:$T$13,2,0)</f>
        <v>0.04</v>
      </c>
      <c r="G98" s="14">
        <f t="shared" si="119"/>
        <v>81</v>
      </c>
      <c r="H98" s="5">
        <f t="shared" si="120"/>
        <v>3255576.1084451703</v>
      </c>
      <c r="I98" s="5">
        <f t="shared" si="105"/>
        <v>-17903.073579954726</v>
      </c>
      <c r="J98" s="5">
        <f t="shared" si="106"/>
        <v>-10851.920361483901</v>
      </c>
      <c r="K98" s="5">
        <f t="shared" si="121"/>
        <v>-7051.1532184708249</v>
      </c>
      <c r="L98" s="5">
        <f t="shared" si="122"/>
        <v>3248524.9552266994</v>
      </c>
      <c r="M98" s="199"/>
      <c r="N98" s="16">
        <f t="shared" ca="1" si="123"/>
        <v>0</v>
      </c>
      <c r="O98" s="508">
        <f t="shared" ca="1" si="107"/>
        <v>0</v>
      </c>
      <c r="P98" s="16">
        <f t="shared" ca="1" si="108"/>
        <v>0</v>
      </c>
      <c r="Q98" s="17">
        <f t="shared" si="145"/>
        <v>9</v>
      </c>
      <c r="R98" s="18">
        <f t="shared" si="138"/>
        <v>42248</v>
      </c>
      <c r="S98" s="10">
        <f t="shared" si="124"/>
        <v>0.04</v>
      </c>
      <c r="T98" s="14" t="str">
        <f t="shared" ca="1" si="125"/>
        <v>I/O</v>
      </c>
      <c r="U98" s="5">
        <f t="shared" ca="1" si="126"/>
        <v>500000</v>
      </c>
      <c r="V98" s="5">
        <f t="shared" ca="1" si="109"/>
        <v>-1666.6666666666667</v>
      </c>
      <c r="W98" s="5">
        <f t="shared" ca="1" si="110"/>
        <v>-1666.6666666666667</v>
      </c>
      <c r="X98" s="5">
        <f t="shared" ca="1" si="127"/>
        <v>0</v>
      </c>
      <c r="Y98" s="5">
        <f t="shared" ca="1" si="128"/>
        <v>500000</v>
      </c>
      <c r="Z98" s="199"/>
      <c r="AA98" s="16">
        <f t="shared" ca="1" si="116"/>
        <v>7</v>
      </c>
      <c r="AB98" s="508">
        <f t="shared" ca="1" si="111"/>
        <v>80</v>
      </c>
      <c r="AC98" s="16">
        <f t="shared" si="149"/>
        <v>7</v>
      </c>
      <c r="AD98" s="17">
        <f t="shared" si="146"/>
        <v>9</v>
      </c>
      <c r="AE98" s="18">
        <f t="shared" ca="1" si="139"/>
        <v>46844</v>
      </c>
      <c r="AF98" s="10">
        <f>IF(Dashboard!$R$24="Float",AF97+Dashboard!$R$24/12,AF97)</f>
        <v>0.06</v>
      </c>
      <c r="AG98" s="14">
        <f t="shared" si="129"/>
        <v>81</v>
      </c>
      <c r="AH98" s="5">
        <f t="shared" si="130"/>
        <v>0</v>
      </c>
      <c r="AI98" s="5">
        <f t="shared" si="113"/>
        <v>0</v>
      </c>
      <c r="AJ98" s="5">
        <f t="shared" si="114"/>
        <v>0</v>
      </c>
      <c r="AK98" s="5">
        <f t="shared" si="131"/>
        <v>0</v>
      </c>
      <c r="AL98" s="5">
        <f t="shared" si="132"/>
        <v>0</v>
      </c>
      <c r="AM98" s="199"/>
      <c r="AN98" s="16">
        <f t="shared" si="150"/>
        <v>8</v>
      </c>
      <c r="AO98" s="17">
        <f t="shared" si="147"/>
        <v>9</v>
      </c>
      <c r="AP98" s="18">
        <f t="shared" ca="1" si="140"/>
        <v>46844</v>
      </c>
      <c r="AQ98" s="10">
        <f>IF(Dashboard!$S$20="Float",AQ97+Dashboard!$T$20/12,AQ97)</f>
        <v>4.4999999999999998E-2</v>
      </c>
      <c r="AR98" s="14">
        <f t="shared" si="133"/>
        <v>81</v>
      </c>
      <c r="AS98" s="5">
        <f t="shared" si="134"/>
        <v>3137269.7490088916</v>
      </c>
      <c r="AT98" s="5">
        <f t="shared" si="117"/>
        <v>-18117.071455543854</v>
      </c>
      <c r="AU98" s="5">
        <f t="shared" si="118"/>
        <v>-11764.761558783342</v>
      </c>
      <c r="AV98" s="5">
        <f t="shared" si="135"/>
        <v>-6352.309896760511</v>
      </c>
      <c r="AW98" s="5">
        <f t="shared" si="136"/>
        <v>3130917.439112131</v>
      </c>
      <c r="AX98" s="199"/>
    </row>
    <row r="99" spans="1:50">
      <c r="A99" s="73"/>
      <c r="B99" s="572"/>
      <c r="C99" s="16">
        <f t="shared" si="148"/>
        <v>7</v>
      </c>
      <c r="D99" s="17">
        <f t="shared" si="144"/>
        <v>10</v>
      </c>
      <c r="E99" s="18">
        <f t="shared" ca="1" si="137"/>
        <v>46874</v>
      </c>
      <c r="F99" s="10">
        <f>+VLOOKUP($C99,Dashboard!$S$4:$T$13,2,0)</f>
        <v>0.04</v>
      </c>
      <c r="G99" s="14">
        <f t="shared" si="119"/>
        <v>82</v>
      </c>
      <c r="H99" s="5">
        <f t="shared" si="120"/>
        <v>3248524.9552266994</v>
      </c>
      <c r="I99" s="5">
        <f t="shared" si="105"/>
        <v>-17903.073579954729</v>
      </c>
      <c r="J99" s="5">
        <f t="shared" si="106"/>
        <v>-10828.416517422333</v>
      </c>
      <c r="K99" s="5">
        <f t="shared" si="121"/>
        <v>-7074.6570625323966</v>
      </c>
      <c r="L99" s="5">
        <f t="shared" si="122"/>
        <v>3241450.298164167</v>
      </c>
      <c r="M99" s="199"/>
      <c r="N99" s="16">
        <f t="shared" ca="1" si="123"/>
        <v>0</v>
      </c>
      <c r="O99" s="508">
        <f t="shared" ca="1" si="107"/>
        <v>0</v>
      </c>
      <c r="P99" s="16">
        <f t="shared" ca="1" si="108"/>
        <v>0</v>
      </c>
      <c r="Q99" s="17">
        <f t="shared" si="145"/>
        <v>10</v>
      </c>
      <c r="R99" s="18">
        <f t="shared" si="138"/>
        <v>42278</v>
      </c>
      <c r="S99" s="10">
        <f t="shared" si="124"/>
        <v>0.04</v>
      </c>
      <c r="T99" s="14" t="str">
        <f t="shared" ca="1" si="125"/>
        <v>I/O</v>
      </c>
      <c r="U99" s="5">
        <f t="shared" ca="1" si="126"/>
        <v>500000</v>
      </c>
      <c r="V99" s="5">
        <f t="shared" ca="1" si="109"/>
        <v>-1666.6666666666667</v>
      </c>
      <c r="W99" s="5">
        <f t="shared" ca="1" si="110"/>
        <v>-1666.6666666666667</v>
      </c>
      <c r="X99" s="5">
        <f t="shared" ca="1" si="127"/>
        <v>0</v>
      </c>
      <c r="Y99" s="5">
        <f t="shared" ca="1" si="128"/>
        <v>500000</v>
      </c>
      <c r="Z99" s="199"/>
      <c r="AA99" s="16">
        <f t="shared" ca="1" si="116"/>
        <v>7</v>
      </c>
      <c r="AB99" s="508">
        <f t="shared" ca="1" si="111"/>
        <v>81</v>
      </c>
      <c r="AC99" s="16">
        <f t="shared" si="149"/>
        <v>7</v>
      </c>
      <c r="AD99" s="17">
        <f t="shared" si="146"/>
        <v>10</v>
      </c>
      <c r="AE99" s="18">
        <f t="shared" ca="1" si="139"/>
        <v>46874</v>
      </c>
      <c r="AF99" s="10">
        <f>IF(Dashboard!$R$24="Float",AF98+Dashboard!$R$24/12,AF98)</f>
        <v>0.06</v>
      </c>
      <c r="AG99" s="14">
        <f t="shared" si="129"/>
        <v>82</v>
      </c>
      <c r="AH99" s="5">
        <f t="shared" si="130"/>
        <v>0</v>
      </c>
      <c r="AI99" s="5">
        <f t="shared" si="113"/>
        <v>0</v>
      </c>
      <c r="AJ99" s="5">
        <f t="shared" si="114"/>
        <v>0</v>
      </c>
      <c r="AK99" s="5">
        <f t="shared" si="131"/>
        <v>0</v>
      </c>
      <c r="AL99" s="5">
        <f t="shared" si="132"/>
        <v>0</v>
      </c>
      <c r="AM99" s="199"/>
      <c r="AN99" s="16">
        <f t="shared" si="150"/>
        <v>8</v>
      </c>
      <c r="AO99" s="17">
        <f t="shared" si="147"/>
        <v>10</v>
      </c>
      <c r="AP99" s="18">
        <f t="shared" ca="1" si="140"/>
        <v>46874</v>
      </c>
      <c r="AQ99" s="10">
        <f>IF(Dashboard!$S$20="Float",AQ98+Dashboard!$T$20/12,AQ98)</f>
        <v>4.4999999999999998E-2</v>
      </c>
      <c r="AR99" s="14">
        <f t="shared" si="133"/>
        <v>82</v>
      </c>
      <c r="AS99" s="5">
        <f t="shared" si="134"/>
        <v>3130917.439112131</v>
      </c>
      <c r="AT99" s="5">
        <f t="shared" si="117"/>
        <v>-18117.071455543857</v>
      </c>
      <c r="AU99" s="5">
        <f t="shared" si="118"/>
        <v>-11740.94039667049</v>
      </c>
      <c r="AV99" s="5">
        <f t="shared" si="135"/>
        <v>-6376.1310588733668</v>
      </c>
      <c r="AW99" s="5">
        <f t="shared" si="136"/>
        <v>3124541.3080532579</v>
      </c>
      <c r="AX99" s="199"/>
    </row>
    <row r="100" spans="1:50">
      <c r="A100" s="73"/>
      <c r="B100" s="572"/>
      <c r="C100" s="16">
        <f t="shared" si="148"/>
        <v>7</v>
      </c>
      <c r="D100" s="17">
        <f t="shared" si="144"/>
        <v>11</v>
      </c>
      <c r="E100" s="18">
        <f t="shared" ca="1" si="137"/>
        <v>46905</v>
      </c>
      <c r="F100" s="10">
        <f>+VLOOKUP($C100,Dashboard!$S$4:$T$13,2,0)</f>
        <v>0.04</v>
      </c>
      <c r="G100" s="14">
        <f t="shared" si="119"/>
        <v>83</v>
      </c>
      <c r="H100" s="5">
        <f t="shared" si="120"/>
        <v>3241450.298164167</v>
      </c>
      <c r="I100" s="5">
        <f t="shared" si="105"/>
        <v>-17903.073579954733</v>
      </c>
      <c r="J100" s="5">
        <f t="shared" si="106"/>
        <v>-10804.83432721389</v>
      </c>
      <c r="K100" s="5">
        <f t="shared" si="121"/>
        <v>-7098.2392527408429</v>
      </c>
      <c r="L100" s="5">
        <f t="shared" si="122"/>
        <v>3234352.058911426</v>
      </c>
      <c r="M100" s="199"/>
      <c r="N100" s="16">
        <f t="shared" ca="1" si="123"/>
        <v>0</v>
      </c>
      <c r="O100" s="508">
        <f t="shared" ca="1" si="107"/>
        <v>0</v>
      </c>
      <c r="P100" s="16">
        <f t="shared" ca="1" si="108"/>
        <v>0</v>
      </c>
      <c r="Q100" s="17">
        <f t="shared" si="145"/>
        <v>11</v>
      </c>
      <c r="R100" s="18">
        <f t="shared" si="138"/>
        <v>42309</v>
      </c>
      <c r="S100" s="10">
        <f t="shared" si="124"/>
        <v>0.04</v>
      </c>
      <c r="T100" s="14" t="str">
        <f t="shared" ca="1" si="125"/>
        <v>I/O</v>
      </c>
      <c r="U100" s="5">
        <f t="shared" ca="1" si="126"/>
        <v>500000</v>
      </c>
      <c r="V100" s="5">
        <f t="shared" ca="1" si="109"/>
        <v>-1666.6666666666667</v>
      </c>
      <c r="W100" s="5">
        <f t="shared" ca="1" si="110"/>
        <v>-1666.6666666666667</v>
      </c>
      <c r="X100" s="5">
        <f t="shared" ca="1" si="127"/>
        <v>0</v>
      </c>
      <c r="Y100" s="5">
        <f t="shared" ca="1" si="128"/>
        <v>500000</v>
      </c>
      <c r="Z100" s="199"/>
      <c r="AA100" s="16">
        <f t="shared" ca="1" si="116"/>
        <v>7</v>
      </c>
      <c r="AB100" s="508">
        <f t="shared" ca="1" si="111"/>
        <v>82</v>
      </c>
      <c r="AC100" s="16">
        <f t="shared" si="149"/>
        <v>7</v>
      </c>
      <c r="AD100" s="17">
        <f t="shared" si="146"/>
        <v>11</v>
      </c>
      <c r="AE100" s="18">
        <f t="shared" ca="1" si="139"/>
        <v>46905</v>
      </c>
      <c r="AF100" s="10">
        <f>IF(Dashboard!$R$24="Float",AF99+Dashboard!$R$24/12,AF99)</f>
        <v>0.06</v>
      </c>
      <c r="AG100" s="14">
        <f t="shared" si="129"/>
        <v>83</v>
      </c>
      <c r="AH100" s="5">
        <f t="shared" si="130"/>
        <v>0</v>
      </c>
      <c r="AI100" s="5">
        <f t="shared" si="113"/>
        <v>0</v>
      </c>
      <c r="AJ100" s="5">
        <f t="shared" si="114"/>
        <v>0</v>
      </c>
      <c r="AK100" s="5">
        <f t="shared" si="131"/>
        <v>0</v>
      </c>
      <c r="AL100" s="5">
        <f t="shared" si="132"/>
        <v>0</v>
      </c>
      <c r="AM100" s="199"/>
      <c r="AN100" s="16">
        <f t="shared" si="150"/>
        <v>8</v>
      </c>
      <c r="AO100" s="17">
        <f t="shared" si="147"/>
        <v>11</v>
      </c>
      <c r="AP100" s="18">
        <f t="shared" ca="1" si="140"/>
        <v>46905</v>
      </c>
      <c r="AQ100" s="10">
        <f>IF(Dashboard!$S$20="Float",AQ99+Dashboard!$T$20/12,AQ99)</f>
        <v>4.4999999999999998E-2</v>
      </c>
      <c r="AR100" s="14">
        <f t="shared" si="133"/>
        <v>83</v>
      </c>
      <c r="AS100" s="5">
        <f t="shared" si="134"/>
        <v>3124541.3080532579</v>
      </c>
      <c r="AT100" s="5">
        <f t="shared" si="117"/>
        <v>-18117.071455543857</v>
      </c>
      <c r="AU100" s="5">
        <f t="shared" si="118"/>
        <v>-11717.029905199715</v>
      </c>
      <c r="AV100" s="5">
        <f t="shared" si="135"/>
        <v>-6400.0415503441418</v>
      </c>
      <c r="AW100" s="5">
        <f t="shared" si="136"/>
        <v>3118141.2665029136</v>
      </c>
      <c r="AX100" s="199"/>
    </row>
    <row r="101" spans="1:50">
      <c r="A101" s="73"/>
      <c r="B101" s="572"/>
      <c r="C101" s="16">
        <f t="shared" si="148"/>
        <v>7</v>
      </c>
      <c r="D101" s="17">
        <f t="shared" si="144"/>
        <v>12</v>
      </c>
      <c r="E101" s="18">
        <f t="shared" ca="1" si="137"/>
        <v>46935</v>
      </c>
      <c r="F101" s="10">
        <f>+VLOOKUP($C101,Dashboard!$S$4:$T$13,2,0)</f>
        <v>0.04</v>
      </c>
      <c r="G101" s="14">
        <f t="shared" si="119"/>
        <v>84</v>
      </c>
      <c r="H101" s="5">
        <f t="shared" si="120"/>
        <v>3234352.058911426</v>
      </c>
      <c r="I101" s="5">
        <f t="shared" si="105"/>
        <v>-17903.073579954729</v>
      </c>
      <c r="J101" s="5">
        <f t="shared" si="106"/>
        <v>-10781.173529704754</v>
      </c>
      <c r="K101" s="5">
        <f t="shared" si="121"/>
        <v>-7121.9000502499748</v>
      </c>
      <c r="L101" s="5">
        <f t="shared" si="122"/>
        <v>3227230.1588611761</v>
      </c>
      <c r="M101" s="199"/>
      <c r="N101" s="16">
        <f t="shared" ca="1" si="123"/>
        <v>0</v>
      </c>
      <c r="O101" s="508">
        <f t="shared" ca="1" si="107"/>
        <v>0</v>
      </c>
      <c r="P101" s="16">
        <f t="shared" ca="1" si="108"/>
        <v>0</v>
      </c>
      <c r="Q101" s="17">
        <f t="shared" si="145"/>
        <v>12</v>
      </c>
      <c r="R101" s="18">
        <f t="shared" si="138"/>
        <v>42339</v>
      </c>
      <c r="S101" s="10">
        <f t="shared" si="124"/>
        <v>0.04</v>
      </c>
      <c r="T101" s="14" t="str">
        <f t="shared" ca="1" si="125"/>
        <v>I/O</v>
      </c>
      <c r="U101" s="5">
        <f t="shared" ca="1" si="126"/>
        <v>500000</v>
      </c>
      <c r="V101" s="5">
        <f t="shared" ca="1" si="109"/>
        <v>-1666.6666666666667</v>
      </c>
      <c r="W101" s="5">
        <f t="shared" ca="1" si="110"/>
        <v>-1666.6666666666667</v>
      </c>
      <c r="X101" s="5">
        <f t="shared" ca="1" si="127"/>
        <v>0</v>
      </c>
      <c r="Y101" s="5">
        <f t="shared" ca="1" si="128"/>
        <v>500000</v>
      </c>
      <c r="Z101" s="199"/>
      <c r="AA101" s="16">
        <f t="shared" ca="1" si="116"/>
        <v>7</v>
      </c>
      <c r="AB101" s="508">
        <f t="shared" ca="1" si="111"/>
        <v>83</v>
      </c>
      <c r="AC101" s="16">
        <f t="shared" si="149"/>
        <v>7</v>
      </c>
      <c r="AD101" s="17">
        <f t="shared" si="146"/>
        <v>12</v>
      </c>
      <c r="AE101" s="18">
        <f t="shared" ca="1" si="139"/>
        <v>46935</v>
      </c>
      <c r="AF101" s="10">
        <f>IF(Dashboard!$R$24="Float",AF100+Dashboard!$R$24/12,AF100)</f>
        <v>0.06</v>
      </c>
      <c r="AG101" s="14">
        <f t="shared" si="129"/>
        <v>84</v>
      </c>
      <c r="AH101" s="5">
        <f t="shared" si="130"/>
        <v>0</v>
      </c>
      <c r="AI101" s="5">
        <f t="shared" si="113"/>
        <v>0</v>
      </c>
      <c r="AJ101" s="5">
        <f t="shared" si="114"/>
        <v>0</v>
      </c>
      <c r="AK101" s="5">
        <f t="shared" si="131"/>
        <v>0</v>
      </c>
      <c r="AL101" s="5">
        <f t="shared" si="132"/>
        <v>0</v>
      </c>
      <c r="AM101" s="199"/>
      <c r="AN101" s="16">
        <f t="shared" si="150"/>
        <v>8</v>
      </c>
      <c r="AO101" s="17">
        <f t="shared" si="147"/>
        <v>12</v>
      </c>
      <c r="AP101" s="18">
        <f t="shared" ca="1" si="140"/>
        <v>46935</v>
      </c>
      <c r="AQ101" s="10">
        <f>IF(Dashboard!$S$20="Float",AQ100+Dashboard!$T$20/12,AQ100)</f>
        <v>4.4999999999999998E-2</v>
      </c>
      <c r="AR101" s="14">
        <f t="shared" si="133"/>
        <v>84</v>
      </c>
      <c r="AS101" s="5">
        <f t="shared" si="134"/>
        <v>3118141.2665029136</v>
      </c>
      <c r="AT101" s="5">
        <f t="shared" si="117"/>
        <v>-18117.071455543857</v>
      </c>
      <c r="AU101" s="5">
        <f t="shared" si="118"/>
        <v>-11693.029749385925</v>
      </c>
      <c r="AV101" s="5">
        <f t="shared" si="135"/>
        <v>-6424.0417061579319</v>
      </c>
      <c r="AW101" s="5">
        <f t="shared" si="136"/>
        <v>3111717.2247967557</v>
      </c>
      <c r="AX101" s="199"/>
    </row>
    <row r="102" spans="1:50" ht="12.75" customHeight="1">
      <c r="A102" s="73"/>
      <c r="B102" s="570">
        <f>+C102</f>
        <v>8</v>
      </c>
      <c r="C102" s="200">
        <f t="shared" ref="C102" si="151">+C101+1</f>
        <v>8</v>
      </c>
      <c r="D102" s="201">
        <v>1</v>
      </c>
      <c r="E102" s="202">
        <f t="shared" ca="1" si="137"/>
        <v>46966</v>
      </c>
      <c r="F102" s="203">
        <f>+VLOOKUP($C102,Dashboard!$S$4:$T$13,2,0)</f>
        <v>0.04</v>
      </c>
      <c r="G102" s="204">
        <f t="shared" si="119"/>
        <v>85</v>
      </c>
      <c r="H102" s="205">
        <f t="shared" si="120"/>
        <v>3227230.1588611761</v>
      </c>
      <c r="I102" s="205">
        <f t="shared" si="105"/>
        <v>-17903.073579954729</v>
      </c>
      <c r="J102" s="205">
        <f t="shared" si="106"/>
        <v>-10757.433862870586</v>
      </c>
      <c r="K102" s="205">
        <f t="shared" si="121"/>
        <v>-7145.6397170841428</v>
      </c>
      <c r="L102" s="205">
        <f t="shared" si="122"/>
        <v>3220084.5191440918</v>
      </c>
      <c r="M102" s="199"/>
      <c r="N102" s="200">
        <f t="shared" ca="1" si="123"/>
        <v>0</v>
      </c>
      <c r="O102" s="509">
        <f t="shared" ca="1" si="107"/>
        <v>0</v>
      </c>
      <c r="P102" s="200">
        <f t="shared" ca="1" si="108"/>
        <v>0</v>
      </c>
      <c r="Q102" s="201">
        <v>1</v>
      </c>
      <c r="R102" s="202">
        <f t="shared" si="138"/>
        <v>42370</v>
      </c>
      <c r="S102" s="203">
        <f t="shared" si="124"/>
        <v>0.04</v>
      </c>
      <c r="T102" s="204" t="str">
        <f t="shared" ca="1" si="125"/>
        <v>I/O</v>
      </c>
      <c r="U102" s="205">
        <f t="shared" ca="1" si="126"/>
        <v>500000</v>
      </c>
      <c r="V102" s="205">
        <f t="shared" ca="1" si="109"/>
        <v>-1666.6666666666667</v>
      </c>
      <c r="W102" s="205">
        <f t="shared" ca="1" si="110"/>
        <v>-1666.6666666666667</v>
      </c>
      <c r="X102" s="205">
        <f t="shared" ca="1" si="127"/>
        <v>0</v>
      </c>
      <c r="Y102" s="205">
        <f t="shared" ca="1" si="128"/>
        <v>500000</v>
      </c>
      <c r="Z102" s="199"/>
      <c r="AA102" s="200">
        <f t="shared" ca="1" si="116"/>
        <v>7</v>
      </c>
      <c r="AB102" s="509">
        <f t="shared" ca="1" si="111"/>
        <v>84</v>
      </c>
      <c r="AC102" s="200">
        <f t="shared" ref="AC102" si="152">+AC101+1</f>
        <v>8</v>
      </c>
      <c r="AD102" s="201">
        <v>1</v>
      </c>
      <c r="AE102" s="202">
        <f t="shared" ca="1" si="139"/>
        <v>46966</v>
      </c>
      <c r="AF102" s="203">
        <f>IF(Dashboard!$R$24="Float",AF101+Dashboard!$R$24/12,AF101)</f>
        <v>0.06</v>
      </c>
      <c r="AG102" s="204">
        <f t="shared" si="129"/>
        <v>85</v>
      </c>
      <c r="AH102" s="205">
        <f t="shared" si="130"/>
        <v>0</v>
      </c>
      <c r="AI102" s="205">
        <f t="shared" si="113"/>
        <v>0</v>
      </c>
      <c r="AJ102" s="205">
        <f t="shared" si="114"/>
        <v>0</v>
      </c>
      <c r="AK102" s="205">
        <f t="shared" si="131"/>
        <v>0</v>
      </c>
      <c r="AL102" s="205">
        <f t="shared" si="132"/>
        <v>0</v>
      </c>
      <c r="AM102" s="199"/>
      <c r="AN102" s="200">
        <f t="shared" ref="AN102" si="153">+AN101+1</f>
        <v>9</v>
      </c>
      <c r="AO102" s="201">
        <v>1</v>
      </c>
      <c r="AP102" s="202">
        <f t="shared" ca="1" si="140"/>
        <v>46966</v>
      </c>
      <c r="AQ102" s="203">
        <f>IF(Dashboard!$S$20="Float",AQ101+Dashboard!$T$20/12,AQ101)</f>
        <v>4.4999999999999998E-2</v>
      </c>
      <c r="AR102" s="204">
        <f t="shared" si="133"/>
        <v>85</v>
      </c>
      <c r="AS102" s="205">
        <f t="shared" si="134"/>
        <v>3111717.2247967557</v>
      </c>
      <c r="AT102" s="205">
        <f t="shared" si="117"/>
        <v>-18117.071455543857</v>
      </c>
      <c r="AU102" s="205">
        <f t="shared" si="118"/>
        <v>-11668.939592987832</v>
      </c>
      <c r="AV102" s="205">
        <f t="shared" si="135"/>
        <v>-6448.1318625560252</v>
      </c>
      <c r="AW102" s="205">
        <f t="shared" si="136"/>
        <v>3105269.0929341996</v>
      </c>
      <c r="AX102" s="199"/>
    </row>
    <row r="103" spans="1:50">
      <c r="A103" s="73"/>
      <c r="B103" s="570"/>
      <c r="C103" s="200">
        <f>+C102</f>
        <v>8</v>
      </c>
      <c r="D103" s="201">
        <f>+D102+1</f>
        <v>2</v>
      </c>
      <c r="E103" s="202">
        <f t="shared" ca="1" si="137"/>
        <v>46997</v>
      </c>
      <c r="F103" s="203">
        <f>+VLOOKUP($C103,Dashboard!$S$4:$T$13,2,0)</f>
        <v>0.04</v>
      </c>
      <c r="G103" s="204">
        <f t="shared" si="119"/>
        <v>86</v>
      </c>
      <c r="H103" s="205">
        <f t="shared" si="120"/>
        <v>3220084.5191440918</v>
      </c>
      <c r="I103" s="205">
        <f t="shared" si="105"/>
        <v>-17903.073579954726</v>
      </c>
      <c r="J103" s="205">
        <f t="shared" si="106"/>
        <v>-10733.615063813641</v>
      </c>
      <c r="K103" s="205">
        <f t="shared" si="121"/>
        <v>-7169.4585161410851</v>
      </c>
      <c r="L103" s="205">
        <f t="shared" si="122"/>
        <v>3212915.0606279508</v>
      </c>
      <c r="M103" s="199"/>
      <c r="N103" s="200">
        <f t="shared" ca="1" si="123"/>
        <v>0</v>
      </c>
      <c r="O103" s="509">
        <f t="shared" ca="1" si="107"/>
        <v>0</v>
      </c>
      <c r="P103" s="200">
        <f t="shared" ca="1" si="108"/>
        <v>0</v>
      </c>
      <c r="Q103" s="201">
        <f>+Q102+1</f>
        <v>2</v>
      </c>
      <c r="R103" s="202">
        <f t="shared" si="138"/>
        <v>42401</v>
      </c>
      <c r="S103" s="203">
        <f t="shared" si="124"/>
        <v>0.04</v>
      </c>
      <c r="T103" s="204" t="str">
        <f t="shared" ca="1" si="125"/>
        <v>I/O</v>
      </c>
      <c r="U103" s="205">
        <f t="shared" ca="1" si="126"/>
        <v>500000</v>
      </c>
      <c r="V103" s="205">
        <f t="shared" ca="1" si="109"/>
        <v>-1666.6666666666667</v>
      </c>
      <c r="W103" s="205">
        <f t="shared" ca="1" si="110"/>
        <v>-1666.6666666666667</v>
      </c>
      <c r="X103" s="205">
        <f t="shared" ca="1" si="127"/>
        <v>0</v>
      </c>
      <c r="Y103" s="205">
        <f t="shared" ca="1" si="128"/>
        <v>500000</v>
      </c>
      <c r="Z103" s="199"/>
      <c r="AA103" s="200">
        <f t="shared" ca="1" si="116"/>
        <v>8</v>
      </c>
      <c r="AB103" s="509">
        <f t="shared" ca="1" si="111"/>
        <v>85</v>
      </c>
      <c r="AC103" s="200">
        <f>+AC102</f>
        <v>8</v>
      </c>
      <c r="AD103" s="201">
        <f>+AD102+1</f>
        <v>2</v>
      </c>
      <c r="AE103" s="202">
        <f t="shared" ca="1" si="139"/>
        <v>46997</v>
      </c>
      <c r="AF103" s="203">
        <f>IF(Dashboard!$R$24="Float",AF102+Dashboard!$R$24/12,AF102)</f>
        <v>0.06</v>
      </c>
      <c r="AG103" s="204">
        <f t="shared" si="129"/>
        <v>86</v>
      </c>
      <c r="AH103" s="205">
        <f t="shared" si="130"/>
        <v>0</v>
      </c>
      <c r="AI103" s="205">
        <f t="shared" si="113"/>
        <v>0</v>
      </c>
      <c r="AJ103" s="205">
        <f t="shared" si="114"/>
        <v>0</v>
      </c>
      <c r="AK103" s="205">
        <f t="shared" si="131"/>
        <v>0</v>
      </c>
      <c r="AL103" s="205">
        <f t="shared" si="132"/>
        <v>0</v>
      </c>
      <c r="AM103" s="199"/>
      <c r="AN103" s="200">
        <f>+AN102</f>
        <v>9</v>
      </c>
      <c r="AO103" s="201">
        <f>+AO102+1</f>
        <v>2</v>
      </c>
      <c r="AP103" s="202">
        <f t="shared" ca="1" si="140"/>
        <v>46997</v>
      </c>
      <c r="AQ103" s="203">
        <f>IF(Dashboard!$S$20="Float",AQ102+Dashboard!$T$20/12,AQ102)</f>
        <v>4.4999999999999998E-2</v>
      </c>
      <c r="AR103" s="204">
        <f t="shared" si="133"/>
        <v>86</v>
      </c>
      <c r="AS103" s="205">
        <f t="shared" si="134"/>
        <v>3105269.0929341996</v>
      </c>
      <c r="AT103" s="205">
        <f t="shared" si="117"/>
        <v>-18117.071455543857</v>
      </c>
      <c r="AU103" s="205">
        <f t="shared" si="118"/>
        <v>-11644.759098503249</v>
      </c>
      <c r="AV103" s="205">
        <f t="shared" si="135"/>
        <v>-6472.3123570406078</v>
      </c>
      <c r="AW103" s="205">
        <f t="shared" si="136"/>
        <v>3098796.780577159</v>
      </c>
      <c r="AX103" s="199"/>
    </row>
    <row r="104" spans="1:50">
      <c r="A104" s="73"/>
      <c r="B104" s="570"/>
      <c r="C104" s="200">
        <f>+C103</f>
        <v>8</v>
      </c>
      <c r="D104" s="201">
        <f>+D103+1</f>
        <v>3</v>
      </c>
      <c r="E104" s="202">
        <f t="shared" ca="1" si="137"/>
        <v>47027</v>
      </c>
      <c r="F104" s="203">
        <f>+VLOOKUP($C104,Dashboard!$S$4:$T$13,2,0)</f>
        <v>0.04</v>
      </c>
      <c r="G104" s="204">
        <f t="shared" si="119"/>
        <v>87</v>
      </c>
      <c r="H104" s="205">
        <f t="shared" si="120"/>
        <v>3212915.0606279508</v>
      </c>
      <c r="I104" s="205">
        <f t="shared" si="105"/>
        <v>-17903.073579954729</v>
      </c>
      <c r="J104" s="205">
        <f t="shared" si="106"/>
        <v>-10709.716868759837</v>
      </c>
      <c r="K104" s="205">
        <f t="shared" si="121"/>
        <v>-7193.3567111948923</v>
      </c>
      <c r="L104" s="205">
        <f t="shared" si="122"/>
        <v>3205721.703916756</v>
      </c>
      <c r="M104" s="199"/>
      <c r="N104" s="200">
        <f t="shared" ca="1" si="123"/>
        <v>0</v>
      </c>
      <c r="O104" s="509">
        <f t="shared" ca="1" si="107"/>
        <v>0</v>
      </c>
      <c r="P104" s="200">
        <f t="shared" ca="1" si="108"/>
        <v>0</v>
      </c>
      <c r="Q104" s="201">
        <f>+Q103+1</f>
        <v>3</v>
      </c>
      <c r="R104" s="202">
        <f t="shared" si="138"/>
        <v>42430</v>
      </c>
      <c r="S104" s="203">
        <f t="shared" si="124"/>
        <v>0.04</v>
      </c>
      <c r="T104" s="204" t="str">
        <f t="shared" ca="1" si="125"/>
        <v>I/O</v>
      </c>
      <c r="U104" s="205">
        <f t="shared" ca="1" si="126"/>
        <v>500000</v>
      </c>
      <c r="V104" s="205">
        <f t="shared" ca="1" si="109"/>
        <v>-1666.6666666666667</v>
      </c>
      <c r="W104" s="205">
        <f t="shared" ca="1" si="110"/>
        <v>-1666.6666666666667</v>
      </c>
      <c r="X104" s="205">
        <f t="shared" ca="1" si="127"/>
        <v>0</v>
      </c>
      <c r="Y104" s="205">
        <f t="shared" ca="1" si="128"/>
        <v>500000</v>
      </c>
      <c r="Z104" s="199"/>
      <c r="AA104" s="200">
        <f t="shared" ca="1" si="116"/>
        <v>8</v>
      </c>
      <c r="AB104" s="509">
        <f t="shared" ca="1" si="111"/>
        <v>86</v>
      </c>
      <c r="AC104" s="200">
        <f>+AC103</f>
        <v>8</v>
      </c>
      <c r="AD104" s="201">
        <f>+AD103+1</f>
        <v>3</v>
      </c>
      <c r="AE104" s="202">
        <f t="shared" ca="1" si="139"/>
        <v>47027</v>
      </c>
      <c r="AF104" s="203">
        <f>IF(Dashboard!$R$24="Float",AF103+Dashboard!$R$24/12,AF103)</f>
        <v>0.06</v>
      </c>
      <c r="AG104" s="204">
        <f t="shared" si="129"/>
        <v>87</v>
      </c>
      <c r="AH104" s="205">
        <f t="shared" si="130"/>
        <v>0</v>
      </c>
      <c r="AI104" s="205">
        <f t="shared" si="113"/>
        <v>0</v>
      </c>
      <c r="AJ104" s="205">
        <f t="shared" si="114"/>
        <v>0</v>
      </c>
      <c r="AK104" s="205">
        <f t="shared" si="131"/>
        <v>0</v>
      </c>
      <c r="AL104" s="205">
        <f t="shared" si="132"/>
        <v>0</v>
      </c>
      <c r="AM104" s="199"/>
      <c r="AN104" s="200">
        <f>+AN103</f>
        <v>9</v>
      </c>
      <c r="AO104" s="201">
        <f>+AO103+1</f>
        <v>3</v>
      </c>
      <c r="AP104" s="202">
        <f t="shared" ca="1" si="140"/>
        <v>47027</v>
      </c>
      <c r="AQ104" s="203">
        <f>IF(Dashboard!$S$20="Float",AQ103+Dashboard!$T$20/12,AQ103)</f>
        <v>4.4999999999999998E-2</v>
      </c>
      <c r="AR104" s="204">
        <f t="shared" si="133"/>
        <v>87</v>
      </c>
      <c r="AS104" s="205">
        <f t="shared" si="134"/>
        <v>3098796.780577159</v>
      </c>
      <c r="AT104" s="205">
        <f t="shared" si="117"/>
        <v>-18117.071455543857</v>
      </c>
      <c r="AU104" s="205">
        <f t="shared" si="118"/>
        <v>-11620.487927164346</v>
      </c>
      <c r="AV104" s="205">
        <f t="shared" si="135"/>
        <v>-6496.5835283795113</v>
      </c>
      <c r="AW104" s="205">
        <f t="shared" si="136"/>
        <v>3092300.1970487796</v>
      </c>
      <c r="AX104" s="199"/>
    </row>
    <row r="105" spans="1:50">
      <c r="A105" s="73"/>
      <c r="B105" s="570"/>
      <c r="C105" s="200">
        <f>+C104</f>
        <v>8</v>
      </c>
      <c r="D105" s="201">
        <f t="shared" ref="D105:D113" si="154">+D104+1</f>
        <v>4</v>
      </c>
      <c r="E105" s="202">
        <f t="shared" ca="1" si="137"/>
        <v>47058</v>
      </c>
      <c r="F105" s="203">
        <f>+VLOOKUP($C105,Dashboard!$S$4:$T$13,2,0)</f>
        <v>0.04</v>
      </c>
      <c r="G105" s="204">
        <f t="shared" si="119"/>
        <v>88</v>
      </c>
      <c r="H105" s="205">
        <f t="shared" si="120"/>
        <v>3205721.703916756</v>
      </c>
      <c r="I105" s="205">
        <f t="shared" si="105"/>
        <v>-17903.073579954729</v>
      </c>
      <c r="J105" s="205">
        <f t="shared" si="106"/>
        <v>-10685.739013055854</v>
      </c>
      <c r="K105" s="205">
        <f t="shared" si="121"/>
        <v>-7217.334566898875</v>
      </c>
      <c r="L105" s="205">
        <f t="shared" si="122"/>
        <v>3198504.3693498573</v>
      </c>
      <c r="M105" s="199"/>
      <c r="N105" s="200">
        <f t="shared" ca="1" si="123"/>
        <v>0</v>
      </c>
      <c r="O105" s="509">
        <f t="shared" ca="1" si="107"/>
        <v>0</v>
      </c>
      <c r="P105" s="200">
        <f t="shared" ca="1" si="108"/>
        <v>0</v>
      </c>
      <c r="Q105" s="201">
        <f t="shared" ref="Q105:Q113" si="155">+Q104+1</f>
        <v>4</v>
      </c>
      <c r="R105" s="202">
        <f t="shared" si="138"/>
        <v>42461</v>
      </c>
      <c r="S105" s="203">
        <f t="shared" si="124"/>
        <v>0.04</v>
      </c>
      <c r="T105" s="204" t="str">
        <f t="shared" ca="1" si="125"/>
        <v>I/O</v>
      </c>
      <c r="U105" s="205">
        <f t="shared" ca="1" si="126"/>
        <v>500000</v>
      </c>
      <c r="V105" s="205">
        <f t="shared" ca="1" si="109"/>
        <v>-1666.6666666666667</v>
      </c>
      <c r="W105" s="205">
        <f t="shared" ca="1" si="110"/>
        <v>-1666.6666666666667</v>
      </c>
      <c r="X105" s="205">
        <f t="shared" ca="1" si="127"/>
        <v>0</v>
      </c>
      <c r="Y105" s="205">
        <f t="shared" ca="1" si="128"/>
        <v>500000</v>
      </c>
      <c r="Z105" s="199"/>
      <c r="AA105" s="200">
        <f t="shared" ca="1" si="116"/>
        <v>8</v>
      </c>
      <c r="AB105" s="509">
        <f t="shared" ca="1" si="111"/>
        <v>87</v>
      </c>
      <c r="AC105" s="200">
        <f>+AC104</f>
        <v>8</v>
      </c>
      <c r="AD105" s="201">
        <f t="shared" ref="AD105:AD113" si="156">+AD104+1</f>
        <v>4</v>
      </c>
      <c r="AE105" s="202">
        <f t="shared" ca="1" si="139"/>
        <v>47058</v>
      </c>
      <c r="AF105" s="203">
        <f>IF(Dashboard!$R$24="Float",AF104+Dashboard!$R$24/12,AF104)</f>
        <v>0.06</v>
      </c>
      <c r="AG105" s="204">
        <f t="shared" si="129"/>
        <v>88</v>
      </c>
      <c r="AH105" s="205">
        <f t="shared" si="130"/>
        <v>0</v>
      </c>
      <c r="AI105" s="205">
        <f t="shared" si="113"/>
        <v>0</v>
      </c>
      <c r="AJ105" s="205">
        <f t="shared" si="114"/>
        <v>0</v>
      </c>
      <c r="AK105" s="205">
        <f t="shared" si="131"/>
        <v>0</v>
      </c>
      <c r="AL105" s="205">
        <f t="shared" si="132"/>
        <v>0</v>
      </c>
      <c r="AM105" s="199"/>
      <c r="AN105" s="200">
        <f>+AN104</f>
        <v>9</v>
      </c>
      <c r="AO105" s="201">
        <f t="shared" ref="AO105:AO113" si="157">+AO104+1</f>
        <v>4</v>
      </c>
      <c r="AP105" s="202">
        <f t="shared" ca="1" si="140"/>
        <v>47058</v>
      </c>
      <c r="AQ105" s="203">
        <f>IF(Dashboard!$S$20="Float",AQ104+Dashboard!$T$20/12,AQ104)</f>
        <v>4.4999999999999998E-2</v>
      </c>
      <c r="AR105" s="204">
        <f t="shared" si="133"/>
        <v>88</v>
      </c>
      <c r="AS105" s="205">
        <f t="shared" si="134"/>
        <v>3092300.1970487796</v>
      </c>
      <c r="AT105" s="205">
        <f t="shared" si="117"/>
        <v>-18117.071455543857</v>
      </c>
      <c r="AU105" s="205">
        <f t="shared" si="118"/>
        <v>-11596.125738932924</v>
      </c>
      <c r="AV105" s="205">
        <f t="shared" si="135"/>
        <v>-6520.9457166109332</v>
      </c>
      <c r="AW105" s="205">
        <f t="shared" si="136"/>
        <v>3085779.2513321685</v>
      </c>
      <c r="AX105" s="199"/>
    </row>
    <row r="106" spans="1:50">
      <c r="A106" s="73"/>
      <c r="B106" s="570"/>
      <c r="C106" s="200">
        <f t="shared" ref="C106:C113" si="158">+C105</f>
        <v>8</v>
      </c>
      <c r="D106" s="201">
        <f t="shared" si="154"/>
        <v>5</v>
      </c>
      <c r="E106" s="202">
        <f t="shared" ca="1" si="137"/>
        <v>47088</v>
      </c>
      <c r="F106" s="203">
        <f>+VLOOKUP($C106,Dashboard!$S$4:$T$13,2,0)</f>
        <v>0.04</v>
      </c>
      <c r="G106" s="204">
        <f t="shared" si="119"/>
        <v>89</v>
      </c>
      <c r="H106" s="205">
        <f t="shared" si="120"/>
        <v>3198504.3693498573</v>
      </c>
      <c r="I106" s="205">
        <f t="shared" si="105"/>
        <v>-17903.073579954733</v>
      </c>
      <c r="J106" s="205">
        <f t="shared" si="106"/>
        <v>-10661.681231166191</v>
      </c>
      <c r="K106" s="205">
        <f t="shared" si="121"/>
        <v>-7241.3923487885422</v>
      </c>
      <c r="L106" s="205">
        <f t="shared" si="122"/>
        <v>3191262.9770010686</v>
      </c>
      <c r="M106" s="199"/>
      <c r="N106" s="200">
        <f t="shared" ca="1" si="123"/>
        <v>0</v>
      </c>
      <c r="O106" s="509">
        <f t="shared" ca="1" si="107"/>
        <v>0</v>
      </c>
      <c r="P106" s="200">
        <f t="shared" ca="1" si="108"/>
        <v>0</v>
      </c>
      <c r="Q106" s="201">
        <f t="shared" si="155"/>
        <v>5</v>
      </c>
      <c r="R106" s="202">
        <f t="shared" si="138"/>
        <v>42491</v>
      </c>
      <c r="S106" s="203">
        <f t="shared" si="124"/>
        <v>0.04</v>
      </c>
      <c r="T106" s="204" t="str">
        <f t="shared" ca="1" si="125"/>
        <v>I/O</v>
      </c>
      <c r="U106" s="205">
        <f t="shared" ca="1" si="126"/>
        <v>500000</v>
      </c>
      <c r="V106" s="205">
        <f t="shared" ca="1" si="109"/>
        <v>-1666.6666666666667</v>
      </c>
      <c r="W106" s="205">
        <f t="shared" ca="1" si="110"/>
        <v>-1666.6666666666667</v>
      </c>
      <c r="X106" s="205">
        <f t="shared" ca="1" si="127"/>
        <v>0</v>
      </c>
      <c r="Y106" s="205">
        <f t="shared" ca="1" si="128"/>
        <v>500000</v>
      </c>
      <c r="Z106" s="199"/>
      <c r="AA106" s="200">
        <f t="shared" ca="1" si="116"/>
        <v>8</v>
      </c>
      <c r="AB106" s="509">
        <f t="shared" ca="1" si="111"/>
        <v>88</v>
      </c>
      <c r="AC106" s="200">
        <f t="shared" ref="AC106:AC113" si="159">+AC105</f>
        <v>8</v>
      </c>
      <c r="AD106" s="201">
        <f t="shared" si="156"/>
        <v>5</v>
      </c>
      <c r="AE106" s="202">
        <f t="shared" ca="1" si="139"/>
        <v>47088</v>
      </c>
      <c r="AF106" s="203">
        <f>IF(Dashboard!$R$24="Float",AF105+Dashboard!$R$24/12,AF105)</f>
        <v>0.06</v>
      </c>
      <c r="AG106" s="204">
        <f t="shared" si="129"/>
        <v>89</v>
      </c>
      <c r="AH106" s="205">
        <f t="shared" si="130"/>
        <v>0</v>
      </c>
      <c r="AI106" s="205">
        <f t="shared" si="113"/>
        <v>0</v>
      </c>
      <c r="AJ106" s="205">
        <f t="shared" si="114"/>
        <v>0</v>
      </c>
      <c r="AK106" s="205">
        <f t="shared" si="131"/>
        <v>0</v>
      </c>
      <c r="AL106" s="205">
        <f t="shared" si="132"/>
        <v>0</v>
      </c>
      <c r="AM106" s="199"/>
      <c r="AN106" s="200">
        <f t="shared" ref="AN106:AN113" si="160">+AN105</f>
        <v>9</v>
      </c>
      <c r="AO106" s="201">
        <f t="shared" si="157"/>
        <v>5</v>
      </c>
      <c r="AP106" s="202">
        <f t="shared" ca="1" si="140"/>
        <v>47088</v>
      </c>
      <c r="AQ106" s="203">
        <f>IF(Dashboard!$S$20="Float",AQ105+Dashboard!$T$20/12,AQ105)</f>
        <v>4.4999999999999998E-2</v>
      </c>
      <c r="AR106" s="204">
        <f t="shared" si="133"/>
        <v>89</v>
      </c>
      <c r="AS106" s="205">
        <f t="shared" si="134"/>
        <v>3085779.2513321685</v>
      </c>
      <c r="AT106" s="205">
        <f t="shared" si="117"/>
        <v>-18117.071455543857</v>
      </c>
      <c r="AU106" s="205">
        <f t="shared" si="118"/>
        <v>-11571.672192495631</v>
      </c>
      <c r="AV106" s="205">
        <f t="shared" si="135"/>
        <v>-6545.3992630482262</v>
      </c>
      <c r="AW106" s="205">
        <f t="shared" si="136"/>
        <v>3079233.8520691204</v>
      </c>
      <c r="AX106" s="199"/>
    </row>
    <row r="107" spans="1:50">
      <c r="A107" s="73"/>
      <c r="B107" s="570"/>
      <c r="C107" s="200">
        <f t="shared" si="158"/>
        <v>8</v>
      </c>
      <c r="D107" s="201">
        <f t="shared" si="154"/>
        <v>6</v>
      </c>
      <c r="E107" s="202">
        <f t="shared" ca="1" si="137"/>
        <v>47119</v>
      </c>
      <c r="F107" s="203">
        <f>+VLOOKUP($C107,Dashboard!$S$4:$T$13,2,0)</f>
        <v>0.04</v>
      </c>
      <c r="G107" s="204">
        <f t="shared" si="119"/>
        <v>90</v>
      </c>
      <c r="H107" s="205">
        <f t="shared" si="120"/>
        <v>3191262.9770010686</v>
      </c>
      <c r="I107" s="205">
        <f t="shared" si="105"/>
        <v>-17903.073579954729</v>
      </c>
      <c r="J107" s="205">
        <f t="shared" si="106"/>
        <v>-10637.543256670229</v>
      </c>
      <c r="K107" s="205">
        <f t="shared" si="121"/>
        <v>-7265.5303232844999</v>
      </c>
      <c r="L107" s="205">
        <f t="shared" si="122"/>
        <v>3183997.446677784</v>
      </c>
      <c r="M107" s="199"/>
      <c r="N107" s="200">
        <f t="shared" ca="1" si="123"/>
        <v>0</v>
      </c>
      <c r="O107" s="509">
        <f t="shared" ca="1" si="107"/>
        <v>0</v>
      </c>
      <c r="P107" s="200">
        <f t="shared" ca="1" si="108"/>
        <v>0</v>
      </c>
      <c r="Q107" s="201">
        <f t="shared" si="155"/>
        <v>6</v>
      </c>
      <c r="R107" s="202">
        <f t="shared" si="138"/>
        <v>42522</v>
      </c>
      <c r="S107" s="203">
        <f t="shared" si="124"/>
        <v>0.04</v>
      </c>
      <c r="T107" s="204" t="str">
        <f t="shared" ca="1" si="125"/>
        <v>I/O</v>
      </c>
      <c r="U107" s="205">
        <f t="shared" ca="1" si="126"/>
        <v>500000</v>
      </c>
      <c r="V107" s="205">
        <f t="shared" ca="1" si="109"/>
        <v>-1666.6666666666667</v>
      </c>
      <c r="W107" s="205">
        <f t="shared" ca="1" si="110"/>
        <v>-1666.6666666666667</v>
      </c>
      <c r="X107" s="205">
        <f t="shared" ca="1" si="127"/>
        <v>0</v>
      </c>
      <c r="Y107" s="205">
        <f t="shared" ca="1" si="128"/>
        <v>500000</v>
      </c>
      <c r="Z107" s="199"/>
      <c r="AA107" s="200">
        <f t="shared" ca="1" si="116"/>
        <v>8</v>
      </c>
      <c r="AB107" s="509">
        <f t="shared" ca="1" si="111"/>
        <v>89</v>
      </c>
      <c r="AC107" s="200">
        <f t="shared" si="159"/>
        <v>8</v>
      </c>
      <c r="AD107" s="201">
        <f t="shared" si="156"/>
        <v>6</v>
      </c>
      <c r="AE107" s="202">
        <f t="shared" ca="1" si="139"/>
        <v>47119</v>
      </c>
      <c r="AF107" s="203">
        <f>IF(Dashboard!$R$24="Float",AF106+Dashboard!$R$24/12,AF106)</f>
        <v>0.06</v>
      </c>
      <c r="AG107" s="204">
        <f t="shared" si="129"/>
        <v>90</v>
      </c>
      <c r="AH107" s="205">
        <f t="shared" si="130"/>
        <v>0</v>
      </c>
      <c r="AI107" s="205">
        <f t="shared" si="113"/>
        <v>0</v>
      </c>
      <c r="AJ107" s="205">
        <f t="shared" si="114"/>
        <v>0</v>
      </c>
      <c r="AK107" s="205">
        <f t="shared" si="131"/>
        <v>0</v>
      </c>
      <c r="AL107" s="205">
        <f t="shared" si="132"/>
        <v>0</v>
      </c>
      <c r="AM107" s="199"/>
      <c r="AN107" s="200">
        <f t="shared" si="160"/>
        <v>9</v>
      </c>
      <c r="AO107" s="201">
        <f t="shared" si="157"/>
        <v>6</v>
      </c>
      <c r="AP107" s="202">
        <f t="shared" ca="1" si="140"/>
        <v>47119</v>
      </c>
      <c r="AQ107" s="203">
        <f>IF(Dashboard!$S$20="Float",AQ106+Dashboard!$T$20/12,AQ106)</f>
        <v>4.4999999999999998E-2</v>
      </c>
      <c r="AR107" s="204">
        <f t="shared" si="133"/>
        <v>90</v>
      </c>
      <c r="AS107" s="205">
        <f t="shared" si="134"/>
        <v>3079233.8520691204</v>
      </c>
      <c r="AT107" s="205">
        <f t="shared" si="117"/>
        <v>-18117.071455543857</v>
      </c>
      <c r="AU107" s="205">
        <f t="shared" si="118"/>
        <v>-11547.126945259201</v>
      </c>
      <c r="AV107" s="205">
        <f t="shared" si="135"/>
        <v>-6569.9445102846566</v>
      </c>
      <c r="AW107" s="205">
        <f t="shared" si="136"/>
        <v>3072663.9075588356</v>
      </c>
      <c r="AX107" s="199"/>
    </row>
    <row r="108" spans="1:50">
      <c r="A108" s="73"/>
      <c r="B108" s="570"/>
      <c r="C108" s="200">
        <f t="shared" si="158"/>
        <v>8</v>
      </c>
      <c r="D108" s="201">
        <f t="shared" si="154"/>
        <v>7</v>
      </c>
      <c r="E108" s="202">
        <f t="shared" ca="1" si="137"/>
        <v>47150</v>
      </c>
      <c r="F108" s="203">
        <f>+VLOOKUP($C108,Dashboard!$S$4:$T$13,2,0)</f>
        <v>0.04</v>
      </c>
      <c r="G108" s="204">
        <f t="shared" si="119"/>
        <v>91</v>
      </c>
      <c r="H108" s="205">
        <f t="shared" si="120"/>
        <v>3183997.446677784</v>
      </c>
      <c r="I108" s="205">
        <f t="shared" si="105"/>
        <v>-17903.073579954729</v>
      </c>
      <c r="J108" s="205">
        <f t="shared" si="106"/>
        <v>-10613.324822259279</v>
      </c>
      <c r="K108" s="205">
        <f t="shared" si="121"/>
        <v>-7289.74875769545</v>
      </c>
      <c r="L108" s="205">
        <f t="shared" si="122"/>
        <v>3176707.6979200887</v>
      </c>
      <c r="M108" s="199"/>
      <c r="N108" s="200">
        <f t="shared" ca="1" si="123"/>
        <v>0</v>
      </c>
      <c r="O108" s="509">
        <f t="shared" ca="1" si="107"/>
        <v>0</v>
      </c>
      <c r="P108" s="200">
        <f t="shared" ca="1" si="108"/>
        <v>0</v>
      </c>
      <c r="Q108" s="201">
        <f t="shared" si="155"/>
        <v>7</v>
      </c>
      <c r="R108" s="202">
        <f t="shared" si="138"/>
        <v>42552</v>
      </c>
      <c r="S108" s="203">
        <f t="shared" si="124"/>
        <v>0.04</v>
      </c>
      <c r="T108" s="204" t="str">
        <f t="shared" ca="1" si="125"/>
        <v>I/O</v>
      </c>
      <c r="U108" s="205">
        <f t="shared" ca="1" si="126"/>
        <v>500000</v>
      </c>
      <c r="V108" s="205">
        <f t="shared" ca="1" si="109"/>
        <v>-1666.6666666666667</v>
      </c>
      <c r="W108" s="205">
        <f t="shared" ca="1" si="110"/>
        <v>-1666.6666666666667</v>
      </c>
      <c r="X108" s="205">
        <f t="shared" ca="1" si="127"/>
        <v>0</v>
      </c>
      <c r="Y108" s="205">
        <f t="shared" ca="1" si="128"/>
        <v>500000</v>
      </c>
      <c r="Z108" s="199"/>
      <c r="AA108" s="200">
        <f t="shared" ca="1" si="116"/>
        <v>8</v>
      </c>
      <c r="AB108" s="509">
        <f t="shared" ca="1" si="111"/>
        <v>90</v>
      </c>
      <c r="AC108" s="200">
        <f t="shared" si="159"/>
        <v>8</v>
      </c>
      <c r="AD108" s="201">
        <f t="shared" si="156"/>
        <v>7</v>
      </c>
      <c r="AE108" s="202">
        <f t="shared" ca="1" si="139"/>
        <v>47150</v>
      </c>
      <c r="AF108" s="203">
        <f>IF(Dashboard!$R$24="Float",AF107+Dashboard!$R$24/12,AF107)</f>
        <v>0.06</v>
      </c>
      <c r="AG108" s="204">
        <f t="shared" si="129"/>
        <v>91</v>
      </c>
      <c r="AH108" s="205">
        <f t="shared" si="130"/>
        <v>0</v>
      </c>
      <c r="AI108" s="205">
        <f t="shared" si="113"/>
        <v>0</v>
      </c>
      <c r="AJ108" s="205">
        <f t="shared" si="114"/>
        <v>0</v>
      </c>
      <c r="AK108" s="205">
        <f t="shared" si="131"/>
        <v>0</v>
      </c>
      <c r="AL108" s="205">
        <f t="shared" si="132"/>
        <v>0</v>
      </c>
      <c r="AM108" s="199"/>
      <c r="AN108" s="200">
        <f t="shared" si="160"/>
        <v>9</v>
      </c>
      <c r="AO108" s="201">
        <f t="shared" si="157"/>
        <v>7</v>
      </c>
      <c r="AP108" s="202">
        <f t="shared" ca="1" si="140"/>
        <v>47150</v>
      </c>
      <c r="AQ108" s="203">
        <f>IF(Dashboard!$S$20="Float",AQ107+Dashboard!$T$20/12,AQ107)</f>
        <v>4.4999999999999998E-2</v>
      </c>
      <c r="AR108" s="204">
        <f t="shared" si="133"/>
        <v>91</v>
      </c>
      <c r="AS108" s="205">
        <f t="shared" si="134"/>
        <v>3072663.9075588356</v>
      </c>
      <c r="AT108" s="205">
        <f t="shared" si="117"/>
        <v>-18117.071455543854</v>
      </c>
      <c r="AU108" s="205">
        <f t="shared" si="118"/>
        <v>-11522.489653345634</v>
      </c>
      <c r="AV108" s="205">
        <f t="shared" si="135"/>
        <v>-6594.5818021982195</v>
      </c>
      <c r="AW108" s="205">
        <f t="shared" si="136"/>
        <v>3066069.3257566374</v>
      </c>
      <c r="AX108" s="199"/>
    </row>
    <row r="109" spans="1:50">
      <c r="A109" s="73"/>
      <c r="B109" s="570"/>
      <c r="C109" s="200">
        <f t="shared" si="158"/>
        <v>8</v>
      </c>
      <c r="D109" s="201">
        <f t="shared" si="154"/>
        <v>8</v>
      </c>
      <c r="E109" s="202">
        <f t="shared" ca="1" si="137"/>
        <v>47178</v>
      </c>
      <c r="F109" s="203">
        <f>+VLOOKUP($C109,Dashboard!$S$4:$T$13,2,0)</f>
        <v>0.04</v>
      </c>
      <c r="G109" s="204">
        <f t="shared" si="119"/>
        <v>92</v>
      </c>
      <c r="H109" s="205">
        <f t="shared" si="120"/>
        <v>3176707.6979200887</v>
      </c>
      <c r="I109" s="205">
        <f t="shared" si="105"/>
        <v>-17903.073579954729</v>
      </c>
      <c r="J109" s="205">
        <f t="shared" si="106"/>
        <v>-10589.025659733628</v>
      </c>
      <c r="K109" s="205">
        <f t="shared" si="121"/>
        <v>-7314.0479202211009</v>
      </c>
      <c r="L109" s="205">
        <f t="shared" si="122"/>
        <v>3169393.6499998677</v>
      </c>
      <c r="M109" s="199"/>
      <c r="N109" s="200">
        <f t="shared" ca="1" si="123"/>
        <v>0</v>
      </c>
      <c r="O109" s="509">
        <f t="shared" ca="1" si="107"/>
        <v>0</v>
      </c>
      <c r="P109" s="200">
        <f t="shared" ca="1" si="108"/>
        <v>0</v>
      </c>
      <c r="Q109" s="201">
        <f t="shared" si="155"/>
        <v>8</v>
      </c>
      <c r="R109" s="202">
        <f t="shared" si="138"/>
        <v>42583</v>
      </c>
      <c r="S109" s="203">
        <f t="shared" si="124"/>
        <v>0.04</v>
      </c>
      <c r="T109" s="204" t="str">
        <f t="shared" ca="1" si="125"/>
        <v>I/O</v>
      </c>
      <c r="U109" s="205">
        <f t="shared" ca="1" si="126"/>
        <v>500000</v>
      </c>
      <c r="V109" s="205">
        <f t="shared" ca="1" si="109"/>
        <v>-1666.6666666666667</v>
      </c>
      <c r="W109" s="205">
        <f t="shared" ca="1" si="110"/>
        <v>-1666.6666666666667</v>
      </c>
      <c r="X109" s="205">
        <f t="shared" ca="1" si="127"/>
        <v>0</v>
      </c>
      <c r="Y109" s="205">
        <f t="shared" ca="1" si="128"/>
        <v>500000</v>
      </c>
      <c r="Z109" s="199"/>
      <c r="AA109" s="200">
        <f t="shared" ca="1" si="116"/>
        <v>8</v>
      </c>
      <c r="AB109" s="509">
        <f t="shared" ca="1" si="111"/>
        <v>91</v>
      </c>
      <c r="AC109" s="200">
        <f t="shared" si="159"/>
        <v>8</v>
      </c>
      <c r="AD109" s="201">
        <f t="shared" si="156"/>
        <v>8</v>
      </c>
      <c r="AE109" s="202">
        <f t="shared" ca="1" si="139"/>
        <v>47178</v>
      </c>
      <c r="AF109" s="203">
        <f>IF(Dashboard!$R$24="Float",AF108+Dashboard!$R$24/12,AF108)</f>
        <v>0.06</v>
      </c>
      <c r="AG109" s="204">
        <f t="shared" si="129"/>
        <v>92</v>
      </c>
      <c r="AH109" s="205">
        <f t="shared" si="130"/>
        <v>0</v>
      </c>
      <c r="AI109" s="205">
        <f t="shared" si="113"/>
        <v>0</v>
      </c>
      <c r="AJ109" s="205">
        <f t="shared" si="114"/>
        <v>0</v>
      </c>
      <c r="AK109" s="205">
        <f t="shared" si="131"/>
        <v>0</v>
      </c>
      <c r="AL109" s="205">
        <f t="shared" si="132"/>
        <v>0</v>
      </c>
      <c r="AM109" s="199"/>
      <c r="AN109" s="200">
        <f t="shared" si="160"/>
        <v>9</v>
      </c>
      <c r="AO109" s="201">
        <f t="shared" si="157"/>
        <v>8</v>
      </c>
      <c r="AP109" s="202">
        <f t="shared" ca="1" si="140"/>
        <v>47178</v>
      </c>
      <c r="AQ109" s="203">
        <f>IF(Dashboard!$S$20="Float",AQ108+Dashboard!$T$20/12,AQ108)</f>
        <v>4.4999999999999998E-2</v>
      </c>
      <c r="AR109" s="204">
        <f t="shared" si="133"/>
        <v>92</v>
      </c>
      <c r="AS109" s="205">
        <f t="shared" si="134"/>
        <v>3066069.3257566374</v>
      </c>
      <c r="AT109" s="205">
        <f t="shared" si="117"/>
        <v>-18117.071455543857</v>
      </c>
      <c r="AU109" s="205">
        <f t="shared" si="118"/>
        <v>-11497.759971587389</v>
      </c>
      <c r="AV109" s="205">
        <f t="shared" si="135"/>
        <v>-6619.3114839564678</v>
      </c>
      <c r="AW109" s="205">
        <f t="shared" si="136"/>
        <v>3059450.014272681</v>
      </c>
      <c r="AX109" s="199"/>
    </row>
    <row r="110" spans="1:50">
      <c r="A110" s="73"/>
      <c r="B110" s="570"/>
      <c r="C110" s="200">
        <f t="shared" si="158"/>
        <v>8</v>
      </c>
      <c r="D110" s="201">
        <f t="shared" si="154"/>
        <v>9</v>
      </c>
      <c r="E110" s="202">
        <f t="shared" ca="1" si="137"/>
        <v>47209</v>
      </c>
      <c r="F110" s="203">
        <f>+VLOOKUP($C110,Dashboard!$S$4:$T$13,2,0)</f>
        <v>0.04</v>
      </c>
      <c r="G110" s="204">
        <f t="shared" si="119"/>
        <v>93</v>
      </c>
      <c r="H110" s="205">
        <f t="shared" si="120"/>
        <v>3169393.6499998677</v>
      </c>
      <c r="I110" s="205">
        <f t="shared" si="105"/>
        <v>-17903.073579954729</v>
      </c>
      <c r="J110" s="205">
        <f t="shared" si="106"/>
        <v>-10564.645499999559</v>
      </c>
      <c r="K110" s="205">
        <f t="shared" si="121"/>
        <v>-7338.4280799551707</v>
      </c>
      <c r="L110" s="205">
        <f t="shared" si="122"/>
        <v>3162055.2219199124</v>
      </c>
      <c r="M110" s="199"/>
      <c r="N110" s="200">
        <f t="shared" ca="1" si="123"/>
        <v>0</v>
      </c>
      <c r="O110" s="509">
        <f t="shared" ca="1" si="107"/>
        <v>0</v>
      </c>
      <c r="P110" s="200">
        <f t="shared" ca="1" si="108"/>
        <v>0</v>
      </c>
      <c r="Q110" s="201">
        <f t="shared" si="155"/>
        <v>9</v>
      </c>
      <c r="R110" s="202">
        <f t="shared" si="138"/>
        <v>42614</v>
      </c>
      <c r="S110" s="203">
        <f t="shared" si="124"/>
        <v>0.04</v>
      </c>
      <c r="T110" s="204" t="str">
        <f t="shared" ca="1" si="125"/>
        <v>I/O</v>
      </c>
      <c r="U110" s="205">
        <f t="shared" ca="1" si="126"/>
        <v>500000</v>
      </c>
      <c r="V110" s="205">
        <f t="shared" ca="1" si="109"/>
        <v>-1666.6666666666667</v>
      </c>
      <c r="W110" s="205">
        <f t="shared" ca="1" si="110"/>
        <v>-1666.6666666666667</v>
      </c>
      <c r="X110" s="205">
        <f t="shared" ca="1" si="127"/>
        <v>0</v>
      </c>
      <c r="Y110" s="205">
        <f t="shared" ca="1" si="128"/>
        <v>500000</v>
      </c>
      <c r="Z110" s="199"/>
      <c r="AA110" s="200">
        <f t="shared" ca="1" si="116"/>
        <v>8</v>
      </c>
      <c r="AB110" s="509">
        <f t="shared" ca="1" si="111"/>
        <v>92</v>
      </c>
      <c r="AC110" s="200">
        <f t="shared" si="159"/>
        <v>8</v>
      </c>
      <c r="AD110" s="201">
        <f t="shared" si="156"/>
        <v>9</v>
      </c>
      <c r="AE110" s="202">
        <f t="shared" ca="1" si="139"/>
        <v>47209</v>
      </c>
      <c r="AF110" s="203">
        <f>IF(Dashboard!$R$24="Float",AF109+Dashboard!$R$24/12,AF109)</f>
        <v>0.06</v>
      </c>
      <c r="AG110" s="204">
        <f t="shared" si="129"/>
        <v>93</v>
      </c>
      <c r="AH110" s="205">
        <f t="shared" si="130"/>
        <v>0</v>
      </c>
      <c r="AI110" s="205">
        <f t="shared" si="113"/>
        <v>0</v>
      </c>
      <c r="AJ110" s="205">
        <f t="shared" si="114"/>
        <v>0</v>
      </c>
      <c r="AK110" s="205">
        <f t="shared" si="131"/>
        <v>0</v>
      </c>
      <c r="AL110" s="205">
        <f t="shared" si="132"/>
        <v>0</v>
      </c>
      <c r="AM110" s="199"/>
      <c r="AN110" s="200">
        <f t="shared" si="160"/>
        <v>9</v>
      </c>
      <c r="AO110" s="201">
        <f t="shared" si="157"/>
        <v>9</v>
      </c>
      <c r="AP110" s="202">
        <f t="shared" ca="1" si="140"/>
        <v>47209</v>
      </c>
      <c r="AQ110" s="203">
        <f>IF(Dashboard!$S$20="Float",AQ109+Dashboard!$T$20/12,AQ109)</f>
        <v>4.4999999999999998E-2</v>
      </c>
      <c r="AR110" s="204">
        <f t="shared" si="133"/>
        <v>93</v>
      </c>
      <c r="AS110" s="205">
        <f t="shared" si="134"/>
        <v>3059450.014272681</v>
      </c>
      <c r="AT110" s="205">
        <f t="shared" si="117"/>
        <v>-18117.071455543857</v>
      </c>
      <c r="AU110" s="205">
        <f t="shared" si="118"/>
        <v>-11472.937553522554</v>
      </c>
      <c r="AV110" s="205">
        <f t="shared" si="135"/>
        <v>-6644.1339020213036</v>
      </c>
      <c r="AW110" s="205">
        <f t="shared" si="136"/>
        <v>3052805.8803706598</v>
      </c>
      <c r="AX110" s="199"/>
    </row>
    <row r="111" spans="1:50">
      <c r="A111" s="73"/>
      <c r="B111" s="570"/>
      <c r="C111" s="200">
        <f t="shared" si="158"/>
        <v>8</v>
      </c>
      <c r="D111" s="201">
        <f t="shared" si="154"/>
        <v>10</v>
      </c>
      <c r="E111" s="202">
        <f t="shared" ca="1" si="137"/>
        <v>47239</v>
      </c>
      <c r="F111" s="203">
        <f>+VLOOKUP($C111,Dashboard!$S$4:$T$13,2,0)</f>
        <v>0.04</v>
      </c>
      <c r="G111" s="204">
        <f t="shared" si="119"/>
        <v>94</v>
      </c>
      <c r="H111" s="205">
        <f t="shared" si="120"/>
        <v>3162055.2219199124</v>
      </c>
      <c r="I111" s="205">
        <f t="shared" si="105"/>
        <v>-17903.073579954736</v>
      </c>
      <c r="J111" s="205">
        <f t="shared" si="106"/>
        <v>-10540.184073066375</v>
      </c>
      <c r="K111" s="205">
        <f t="shared" si="121"/>
        <v>-7362.8895068883612</v>
      </c>
      <c r="L111" s="205">
        <f t="shared" si="122"/>
        <v>3154692.3324130238</v>
      </c>
      <c r="M111" s="199"/>
      <c r="N111" s="200">
        <f t="shared" ca="1" si="123"/>
        <v>0</v>
      </c>
      <c r="O111" s="509">
        <f t="shared" ca="1" si="107"/>
        <v>0</v>
      </c>
      <c r="P111" s="200">
        <f t="shared" ca="1" si="108"/>
        <v>0</v>
      </c>
      <c r="Q111" s="201">
        <f t="shared" si="155"/>
        <v>10</v>
      </c>
      <c r="R111" s="202">
        <f t="shared" si="138"/>
        <v>42644</v>
      </c>
      <c r="S111" s="203">
        <f t="shared" si="124"/>
        <v>0.04</v>
      </c>
      <c r="T111" s="204" t="str">
        <f t="shared" ca="1" si="125"/>
        <v>I/O</v>
      </c>
      <c r="U111" s="205">
        <f t="shared" ca="1" si="126"/>
        <v>500000</v>
      </c>
      <c r="V111" s="205">
        <f t="shared" ca="1" si="109"/>
        <v>-1666.6666666666667</v>
      </c>
      <c r="W111" s="205">
        <f t="shared" ca="1" si="110"/>
        <v>-1666.6666666666667</v>
      </c>
      <c r="X111" s="205">
        <f t="shared" ca="1" si="127"/>
        <v>0</v>
      </c>
      <c r="Y111" s="205">
        <f t="shared" ca="1" si="128"/>
        <v>500000</v>
      </c>
      <c r="Z111" s="199"/>
      <c r="AA111" s="200">
        <f t="shared" ca="1" si="116"/>
        <v>8</v>
      </c>
      <c r="AB111" s="509">
        <f t="shared" ca="1" si="111"/>
        <v>93</v>
      </c>
      <c r="AC111" s="200">
        <f t="shared" si="159"/>
        <v>8</v>
      </c>
      <c r="AD111" s="201">
        <f t="shared" si="156"/>
        <v>10</v>
      </c>
      <c r="AE111" s="202">
        <f t="shared" ca="1" si="139"/>
        <v>47239</v>
      </c>
      <c r="AF111" s="203">
        <f>IF(Dashboard!$R$24="Float",AF110+Dashboard!$R$24/12,AF110)</f>
        <v>0.06</v>
      </c>
      <c r="AG111" s="204">
        <f t="shared" si="129"/>
        <v>94</v>
      </c>
      <c r="AH111" s="205">
        <f t="shared" si="130"/>
        <v>0</v>
      </c>
      <c r="AI111" s="205">
        <f t="shared" si="113"/>
        <v>0</v>
      </c>
      <c r="AJ111" s="205">
        <f t="shared" si="114"/>
        <v>0</v>
      </c>
      <c r="AK111" s="205">
        <f t="shared" si="131"/>
        <v>0</v>
      </c>
      <c r="AL111" s="205">
        <f t="shared" si="132"/>
        <v>0</v>
      </c>
      <c r="AM111" s="199"/>
      <c r="AN111" s="200">
        <f t="shared" si="160"/>
        <v>9</v>
      </c>
      <c r="AO111" s="201">
        <f t="shared" si="157"/>
        <v>10</v>
      </c>
      <c r="AP111" s="202">
        <f t="shared" ca="1" si="140"/>
        <v>47239</v>
      </c>
      <c r="AQ111" s="203">
        <f>IF(Dashboard!$S$20="Float",AQ110+Dashboard!$T$20/12,AQ110)</f>
        <v>4.4999999999999998E-2</v>
      </c>
      <c r="AR111" s="204">
        <f t="shared" si="133"/>
        <v>94</v>
      </c>
      <c r="AS111" s="205">
        <f t="shared" si="134"/>
        <v>3052805.8803706598</v>
      </c>
      <c r="AT111" s="205">
        <f t="shared" si="117"/>
        <v>-18117.071455543857</v>
      </c>
      <c r="AU111" s="205">
        <f t="shared" si="118"/>
        <v>-11448.022051389975</v>
      </c>
      <c r="AV111" s="205">
        <f t="shared" si="135"/>
        <v>-6669.0494041538823</v>
      </c>
      <c r="AW111" s="205">
        <f t="shared" si="136"/>
        <v>3046136.8309665057</v>
      </c>
      <c r="AX111" s="199"/>
    </row>
    <row r="112" spans="1:50">
      <c r="A112" s="73"/>
      <c r="B112" s="570"/>
      <c r="C112" s="200">
        <f t="shared" si="158"/>
        <v>8</v>
      </c>
      <c r="D112" s="201">
        <f t="shared" si="154"/>
        <v>11</v>
      </c>
      <c r="E112" s="202">
        <f t="shared" ca="1" si="137"/>
        <v>47270</v>
      </c>
      <c r="F112" s="203">
        <f>+VLOOKUP($C112,Dashboard!$S$4:$T$13,2,0)</f>
        <v>0.04</v>
      </c>
      <c r="G112" s="204">
        <f t="shared" si="119"/>
        <v>95</v>
      </c>
      <c r="H112" s="205">
        <f t="shared" si="120"/>
        <v>3154692.3324130238</v>
      </c>
      <c r="I112" s="205">
        <f t="shared" si="105"/>
        <v>-17903.073579954729</v>
      </c>
      <c r="J112" s="205">
        <f t="shared" si="106"/>
        <v>-10515.641108043414</v>
      </c>
      <c r="K112" s="205">
        <f t="shared" si="121"/>
        <v>-7387.4324719113156</v>
      </c>
      <c r="L112" s="205">
        <f t="shared" si="122"/>
        <v>3147304.8999411124</v>
      </c>
      <c r="M112" s="199"/>
      <c r="N112" s="200">
        <f t="shared" ca="1" si="123"/>
        <v>0</v>
      </c>
      <c r="O112" s="509">
        <f t="shared" ca="1" si="107"/>
        <v>0</v>
      </c>
      <c r="P112" s="200">
        <f t="shared" ca="1" si="108"/>
        <v>0</v>
      </c>
      <c r="Q112" s="201">
        <f t="shared" si="155"/>
        <v>11</v>
      </c>
      <c r="R112" s="202">
        <f t="shared" si="138"/>
        <v>42675</v>
      </c>
      <c r="S112" s="203">
        <f t="shared" si="124"/>
        <v>0.04</v>
      </c>
      <c r="T112" s="204" t="str">
        <f t="shared" ca="1" si="125"/>
        <v>I/O</v>
      </c>
      <c r="U112" s="205">
        <f t="shared" ca="1" si="126"/>
        <v>500000</v>
      </c>
      <c r="V112" s="205">
        <f t="shared" ca="1" si="109"/>
        <v>-1666.6666666666667</v>
      </c>
      <c r="W112" s="205">
        <f t="shared" ca="1" si="110"/>
        <v>-1666.6666666666667</v>
      </c>
      <c r="X112" s="205">
        <f t="shared" ca="1" si="127"/>
        <v>0</v>
      </c>
      <c r="Y112" s="205">
        <f t="shared" ca="1" si="128"/>
        <v>500000</v>
      </c>
      <c r="Z112" s="199"/>
      <c r="AA112" s="200">
        <f t="shared" ca="1" si="116"/>
        <v>8</v>
      </c>
      <c r="AB112" s="509">
        <f t="shared" ca="1" si="111"/>
        <v>94</v>
      </c>
      <c r="AC112" s="200">
        <f t="shared" si="159"/>
        <v>8</v>
      </c>
      <c r="AD112" s="201">
        <f t="shared" si="156"/>
        <v>11</v>
      </c>
      <c r="AE112" s="202">
        <f t="shared" ca="1" si="139"/>
        <v>47270</v>
      </c>
      <c r="AF112" s="203">
        <f>IF(Dashboard!$R$24="Float",AF111+Dashboard!$R$24/12,AF111)</f>
        <v>0.06</v>
      </c>
      <c r="AG112" s="204">
        <f t="shared" si="129"/>
        <v>95</v>
      </c>
      <c r="AH112" s="205">
        <f t="shared" si="130"/>
        <v>0</v>
      </c>
      <c r="AI112" s="205">
        <f t="shared" si="113"/>
        <v>0</v>
      </c>
      <c r="AJ112" s="205">
        <f t="shared" si="114"/>
        <v>0</v>
      </c>
      <c r="AK112" s="205">
        <f t="shared" si="131"/>
        <v>0</v>
      </c>
      <c r="AL112" s="205">
        <f t="shared" si="132"/>
        <v>0</v>
      </c>
      <c r="AM112" s="199"/>
      <c r="AN112" s="200">
        <f t="shared" si="160"/>
        <v>9</v>
      </c>
      <c r="AO112" s="201">
        <f t="shared" si="157"/>
        <v>11</v>
      </c>
      <c r="AP112" s="202">
        <f t="shared" ca="1" si="140"/>
        <v>47270</v>
      </c>
      <c r="AQ112" s="203">
        <f>IF(Dashboard!$S$20="Float",AQ111+Dashboard!$T$20/12,AQ111)</f>
        <v>4.4999999999999998E-2</v>
      </c>
      <c r="AR112" s="204">
        <f t="shared" si="133"/>
        <v>95</v>
      </c>
      <c r="AS112" s="205">
        <f t="shared" si="134"/>
        <v>3046136.8309665057</v>
      </c>
      <c r="AT112" s="205">
        <f t="shared" si="117"/>
        <v>-18117.071455543857</v>
      </c>
      <c r="AU112" s="205">
        <f t="shared" si="118"/>
        <v>-11423.013116124397</v>
      </c>
      <c r="AV112" s="205">
        <f t="shared" si="135"/>
        <v>-6694.05833941946</v>
      </c>
      <c r="AW112" s="205">
        <f t="shared" si="136"/>
        <v>3039442.7726270864</v>
      </c>
      <c r="AX112" s="199"/>
    </row>
    <row r="113" spans="1:50">
      <c r="A113" s="73"/>
      <c r="B113" s="570"/>
      <c r="C113" s="200">
        <f t="shared" si="158"/>
        <v>8</v>
      </c>
      <c r="D113" s="201">
        <f t="shared" si="154"/>
        <v>12</v>
      </c>
      <c r="E113" s="202">
        <f t="shared" ca="1" si="137"/>
        <v>47300</v>
      </c>
      <c r="F113" s="203">
        <f>+VLOOKUP($C113,Dashboard!$S$4:$T$13,2,0)</f>
        <v>0.04</v>
      </c>
      <c r="G113" s="204">
        <f t="shared" si="119"/>
        <v>96</v>
      </c>
      <c r="H113" s="205">
        <f t="shared" si="120"/>
        <v>3147304.8999411124</v>
      </c>
      <c r="I113" s="205">
        <f t="shared" si="105"/>
        <v>-17903.073579954733</v>
      </c>
      <c r="J113" s="205">
        <f t="shared" si="106"/>
        <v>-10491.01633313704</v>
      </c>
      <c r="K113" s="205">
        <f t="shared" si="121"/>
        <v>-7412.0572468176924</v>
      </c>
      <c r="L113" s="205">
        <f t="shared" si="122"/>
        <v>3139892.8426942946</v>
      </c>
      <c r="M113" s="199"/>
      <c r="N113" s="200">
        <f t="shared" ca="1" si="123"/>
        <v>0</v>
      </c>
      <c r="O113" s="509">
        <f t="shared" ca="1" si="107"/>
        <v>0</v>
      </c>
      <c r="P113" s="200">
        <f t="shared" ca="1" si="108"/>
        <v>0</v>
      </c>
      <c r="Q113" s="201">
        <f t="shared" si="155"/>
        <v>12</v>
      </c>
      <c r="R113" s="202">
        <f t="shared" si="138"/>
        <v>42705</v>
      </c>
      <c r="S113" s="203">
        <f t="shared" si="124"/>
        <v>0.04</v>
      </c>
      <c r="T113" s="204" t="str">
        <f t="shared" ca="1" si="125"/>
        <v>I/O</v>
      </c>
      <c r="U113" s="205">
        <f t="shared" ca="1" si="126"/>
        <v>500000</v>
      </c>
      <c r="V113" s="205">
        <f t="shared" ca="1" si="109"/>
        <v>-1666.6666666666667</v>
      </c>
      <c r="W113" s="205">
        <f t="shared" ca="1" si="110"/>
        <v>-1666.6666666666667</v>
      </c>
      <c r="X113" s="205">
        <f t="shared" ca="1" si="127"/>
        <v>0</v>
      </c>
      <c r="Y113" s="205">
        <f t="shared" ca="1" si="128"/>
        <v>500000</v>
      </c>
      <c r="Z113" s="199"/>
      <c r="AA113" s="200">
        <f t="shared" ca="1" si="116"/>
        <v>8</v>
      </c>
      <c r="AB113" s="509">
        <f t="shared" ca="1" si="111"/>
        <v>95</v>
      </c>
      <c r="AC113" s="200">
        <f t="shared" si="159"/>
        <v>8</v>
      </c>
      <c r="AD113" s="201">
        <f t="shared" si="156"/>
        <v>12</v>
      </c>
      <c r="AE113" s="202">
        <f t="shared" ca="1" si="139"/>
        <v>47300</v>
      </c>
      <c r="AF113" s="203">
        <f>IF(Dashboard!$R$24="Float",AF112+Dashboard!$R$24/12,AF112)</f>
        <v>0.06</v>
      </c>
      <c r="AG113" s="204">
        <f t="shared" si="129"/>
        <v>96</v>
      </c>
      <c r="AH113" s="205">
        <f t="shared" si="130"/>
        <v>0</v>
      </c>
      <c r="AI113" s="205">
        <f t="shared" si="113"/>
        <v>0</v>
      </c>
      <c r="AJ113" s="205">
        <f t="shared" si="114"/>
        <v>0</v>
      </c>
      <c r="AK113" s="205">
        <f t="shared" si="131"/>
        <v>0</v>
      </c>
      <c r="AL113" s="205">
        <f t="shared" si="132"/>
        <v>0</v>
      </c>
      <c r="AM113" s="199"/>
      <c r="AN113" s="200">
        <f t="shared" si="160"/>
        <v>9</v>
      </c>
      <c r="AO113" s="201">
        <f t="shared" si="157"/>
        <v>12</v>
      </c>
      <c r="AP113" s="202">
        <f t="shared" ca="1" si="140"/>
        <v>47300</v>
      </c>
      <c r="AQ113" s="203">
        <f>IF(Dashboard!$S$20="Float",AQ112+Dashboard!$T$20/12,AQ112)</f>
        <v>4.4999999999999998E-2</v>
      </c>
      <c r="AR113" s="204">
        <f t="shared" si="133"/>
        <v>96</v>
      </c>
      <c r="AS113" s="205">
        <f t="shared" si="134"/>
        <v>3039442.7726270864</v>
      </c>
      <c r="AT113" s="205">
        <f t="shared" si="117"/>
        <v>-18117.071455543857</v>
      </c>
      <c r="AU113" s="205">
        <f t="shared" si="118"/>
        <v>-11397.910397351574</v>
      </c>
      <c r="AV113" s="205">
        <f t="shared" si="135"/>
        <v>-6719.1610581922832</v>
      </c>
      <c r="AW113" s="205">
        <f t="shared" si="136"/>
        <v>3032723.6115688942</v>
      </c>
      <c r="AX113" s="199"/>
    </row>
    <row r="114" spans="1:50">
      <c r="A114" s="73"/>
      <c r="B114" s="571">
        <f>+C114</f>
        <v>9</v>
      </c>
      <c r="C114" s="16">
        <f t="shared" ref="C114" si="161">+C113+1</f>
        <v>9</v>
      </c>
      <c r="D114" s="17">
        <v>1</v>
      </c>
      <c r="E114" s="18">
        <f t="shared" ca="1" si="137"/>
        <v>47331</v>
      </c>
      <c r="F114" s="10">
        <f>+VLOOKUP($C114,Dashboard!$S$4:$T$13,2,0)</f>
        <v>0.04</v>
      </c>
      <c r="G114" s="14">
        <f t="shared" si="119"/>
        <v>97</v>
      </c>
      <c r="H114" s="5">
        <f t="shared" si="120"/>
        <v>3139892.8426942946</v>
      </c>
      <c r="I114" s="5">
        <f t="shared" si="105"/>
        <v>-17903.073579954733</v>
      </c>
      <c r="J114" s="5">
        <f t="shared" si="106"/>
        <v>-10466.309475647649</v>
      </c>
      <c r="K114" s="5">
        <f t="shared" si="121"/>
        <v>-7436.7641043070835</v>
      </c>
      <c r="L114" s="5">
        <f t="shared" si="122"/>
        <v>3132456.0785899875</v>
      </c>
      <c r="M114" s="199"/>
      <c r="N114" s="16">
        <f t="shared" ca="1" si="123"/>
        <v>0</v>
      </c>
      <c r="O114" s="508">
        <f t="shared" ca="1" si="107"/>
        <v>0</v>
      </c>
      <c r="P114" s="16">
        <f t="shared" ca="1" si="108"/>
        <v>0</v>
      </c>
      <c r="Q114" s="17">
        <v>1</v>
      </c>
      <c r="R114" s="18">
        <f t="shared" si="138"/>
        <v>42736</v>
      </c>
      <c r="S114" s="10">
        <f t="shared" si="124"/>
        <v>0.04</v>
      </c>
      <c r="T114" s="14" t="str">
        <f t="shared" ca="1" si="125"/>
        <v>I/O</v>
      </c>
      <c r="U114" s="5">
        <f t="shared" ca="1" si="126"/>
        <v>500000</v>
      </c>
      <c r="V114" s="5">
        <f t="shared" ca="1" si="109"/>
        <v>-1666.6666666666667</v>
      </c>
      <c r="W114" s="5">
        <f t="shared" ca="1" si="110"/>
        <v>-1666.6666666666667</v>
      </c>
      <c r="X114" s="5">
        <f t="shared" ca="1" si="127"/>
        <v>0</v>
      </c>
      <c r="Y114" s="5">
        <f t="shared" ca="1" si="128"/>
        <v>500000</v>
      </c>
      <c r="Z114" s="199"/>
      <c r="AA114" s="16">
        <f t="shared" ca="1" si="116"/>
        <v>8</v>
      </c>
      <c r="AB114" s="508">
        <f t="shared" ca="1" si="111"/>
        <v>96</v>
      </c>
      <c r="AC114" s="16">
        <f t="shared" ref="AC114" si="162">+AC113+1</f>
        <v>9</v>
      </c>
      <c r="AD114" s="17">
        <v>1</v>
      </c>
      <c r="AE114" s="18">
        <f t="shared" ca="1" si="139"/>
        <v>47331</v>
      </c>
      <c r="AF114" s="10">
        <f>IF(Dashboard!$R$24="Float",AF113+Dashboard!$R$24/12,AF113)</f>
        <v>0.06</v>
      </c>
      <c r="AG114" s="14">
        <f t="shared" si="129"/>
        <v>97</v>
      </c>
      <c r="AH114" s="5">
        <f t="shared" si="130"/>
        <v>0</v>
      </c>
      <c r="AI114" s="5">
        <f t="shared" si="113"/>
        <v>0</v>
      </c>
      <c r="AJ114" s="5">
        <f t="shared" si="114"/>
        <v>0</v>
      </c>
      <c r="AK114" s="5">
        <f t="shared" si="131"/>
        <v>0</v>
      </c>
      <c r="AL114" s="5">
        <f t="shared" si="132"/>
        <v>0</v>
      </c>
      <c r="AM114" s="199"/>
      <c r="AN114" s="16">
        <f t="shared" ref="AN114" si="163">+AN113+1</f>
        <v>10</v>
      </c>
      <c r="AO114" s="17">
        <v>1</v>
      </c>
      <c r="AP114" s="18">
        <f t="shared" ca="1" si="140"/>
        <v>47331</v>
      </c>
      <c r="AQ114" s="10">
        <f>IF(Dashboard!$S$20="Float",AQ113+Dashboard!$T$20/12,AQ113)</f>
        <v>4.4999999999999998E-2</v>
      </c>
      <c r="AR114" s="14">
        <f t="shared" si="133"/>
        <v>97</v>
      </c>
      <c r="AS114" s="5">
        <f t="shared" si="134"/>
        <v>3032723.6115688942</v>
      </c>
      <c r="AT114" s="5">
        <f t="shared" si="117"/>
        <v>-18117.071455543857</v>
      </c>
      <c r="AU114" s="5">
        <f t="shared" si="118"/>
        <v>-11372.713543383354</v>
      </c>
      <c r="AV114" s="5">
        <f t="shared" si="135"/>
        <v>-6744.3579121605035</v>
      </c>
      <c r="AW114" s="5">
        <f t="shared" si="136"/>
        <v>3025979.2536567338</v>
      </c>
      <c r="AX114" s="199"/>
    </row>
    <row r="115" spans="1:50">
      <c r="A115" s="73"/>
      <c r="B115" s="572"/>
      <c r="C115" s="16">
        <f>+C114</f>
        <v>9</v>
      </c>
      <c r="D115" s="17">
        <f>+D114+1</f>
        <v>2</v>
      </c>
      <c r="E115" s="18">
        <f t="shared" ca="1" si="137"/>
        <v>47362</v>
      </c>
      <c r="F115" s="10">
        <f>+VLOOKUP($C115,Dashboard!$S$4:$T$13,2,0)</f>
        <v>0.04</v>
      </c>
      <c r="G115" s="14">
        <f t="shared" si="119"/>
        <v>98</v>
      </c>
      <c r="H115" s="5">
        <f t="shared" si="120"/>
        <v>3132456.0785899875</v>
      </c>
      <c r="I115" s="5">
        <f t="shared" si="105"/>
        <v>-17903.073579954726</v>
      </c>
      <c r="J115" s="5">
        <f t="shared" si="106"/>
        <v>-10441.520261966625</v>
      </c>
      <c r="K115" s="5">
        <f t="shared" si="121"/>
        <v>-7461.5533179881004</v>
      </c>
      <c r="L115" s="5">
        <f t="shared" si="122"/>
        <v>3124994.5252719992</v>
      </c>
      <c r="M115" s="199"/>
      <c r="N115" s="16">
        <f t="shared" ca="1" si="123"/>
        <v>0</v>
      </c>
      <c r="O115" s="508">
        <f t="shared" ca="1" si="107"/>
        <v>0</v>
      </c>
      <c r="P115" s="16">
        <f t="shared" ca="1" si="108"/>
        <v>0</v>
      </c>
      <c r="Q115" s="17">
        <f>+Q114+1</f>
        <v>2</v>
      </c>
      <c r="R115" s="18">
        <f t="shared" si="138"/>
        <v>42767</v>
      </c>
      <c r="S115" s="10">
        <f t="shared" si="124"/>
        <v>0.04</v>
      </c>
      <c r="T115" s="14" t="str">
        <f t="shared" ca="1" si="125"/>
        <v>I/O</v>
      </c>
      <c r="U115" s="5">
        <f t="shared" ca="1" si="126"/>
        <v>500000</v>
      </c>
      <c r="V115" s="5">
        <f t="shared" ca="1" si="109"/>
        <v>-1666.6666666666667</v>
      </c>
      <c r="W115" s="5">
        <f t="shared" ca="1" si="110"/>
        <v>-1666.6666666666667</v>
      </c>
      <c r="X115" s="5">
        <f t="shared" ca="1" si="127"/>
        <v>0</v>
      </c>
      <c r="Y115" s="5">
        <f t="shared" ca="1" si="128"/>
        <v>500000</v>
      </c>
      <c r="Z115" s="199"/>
      <c r="AA115" s="16">
        <f t="shared" ca="1" si="116"/>
        <v>9</v>
      </c>
      <c r="AB115" s="508">
        <f t="shared" ca="1" si="111"/>
        <v>97</v>
      </c>
      <c r="AC115" s="16">
        <f>+AC114</f>
        <v>9</v>
      </c>
      <c r="AD115" s="17">
        <f>+AD114+1</f>
        <v>2</v>
      </c>
      <c r="AE115" s="18">
        <f t="shared" ca="1" si="139"/>
        <v>47362</v>
      </c>
      <c r="AF115" s="10">
        <f>IF(Dashboard!$R$24="Float",AF114+Dashboard!$R$24/12,AF114)</f>
        <v>0.06</v>
      </c>
      <c r="AG115" s="14">
        <f t="shared" si="129"/>
        <v>98</v>
      </c>
      <c r="AH115" s="5">
        <f t="shared" si="130"/>
        <v>0</v>
      </c>
      <c r="AI115" s="5">
        <f t="shared" si="113"/>
        <v>0</v>
      </c>
      <c r="AJ115" s="5">
        <f t="shared" si="114"/>
        <v>0</v>
      </c>
      <c r="AK115" s="5">
        <f t="shared" si="131"/>
        <v>0</v>
      </c>
      <c r="AL115" s="5">
        <f t="shared" si="132"/>
        <v>0</v>
      </c>
      <c r="AM115" s="199"/>
      <c r="AN115" s="16">
        <f>+AN114</f>
        <v>10</v>
      </c>
      <c r="AO115" s="17">
        <f>+AO114+1</f>
        <v>2</v>
      </c>
      <c r="AP115" s="18">
        <f t="shared" ca="1" si="140"/>
        <v>47362</v>
      </c>
      <c r="AQ115" s="10">
        <f>IF(Dashboard!$S$20="Float",AQ114+Dashboard!$T$20/12,AQ114)</f>
        <v>4.4999999999999998E-2</v>
      </c>
      <c r="AR115" s="14">
        <f t="shared" si="133"/>
        <v>98</v>
      </c>
      <c r="AS115" s="5">
        <f t="shared" si="134"/>
        <v>3025979.2536567338</v>
      </c>
      <c r="AT115" s="5">
        <f t="shared" si="117"/>
        <v>-18117.071455543857</v>
      </c>
      <c r="AU115" s="5">
        <f t="shared" si="118"/>
        <v>-11347.42220121275</v>
      </c>
      <c r="AV115" s="5">
        <f t="shared" si="135"/>
        <v>-6769.6492543311069</v>
      </c>
      <c r="AW115" s="5">
        <f t="shared" si="136"/>
        <v>3019209.6044024029</v>
      </c>
      <c r="AX115" s="199"/>
    </row>
    <row r="116" spans="1:50">
      <c r="A116" s="73"/>
      <c r="B116" s="572"/>
      <c r="C116" s="16">
        <f>+C115</f>
        <v>9</v>
      </c>
      <c r="D116" s="17">
        <f>+D115+1</f>
        <v>3</v>
      </c>
      <c r="E116" s="18">
        <f t="shared" ca="1" si="137"/>
        <v>47392</v>
      </c>
      <c r="F116" s="10">
        <f>+VLOOKUP($C116,Dashboard!$S$4:$T$13,2,0)</f>
        <v>0.04</v>
      </c>
      <c r="G116" s="14">
        <f t="shared" si="119"/>
        <v>99</v>
      </c>
      <c r="H116" s="5">
        <f t="shared" si="120"/>
        <v>3124994.5252719992</v>
      </c>
      <c r="I116" s="5">
        <f t="shared" si="105"/>
        <v>-17903.073579954726</v>
      </c>
      <c r="J116" s="5">
        <f t="shared" si="106"/>
        <v>-10416.648417573331</v>
      </c>
      <c r="K116" s="5">
        <f t="shared" si="121"/>
        <v>-7486.4251623813943</v>
      </c>
      <c r="L116" s="5">
        <f t="shared" si="122"/>
        <v>3117508.1001096177</v>
      </c>
      <c r="M116" s="199"/>
      <c r="N116" s="16">
        <f t="shared" ca="1" si="123"/>
        <v>0</v>
      </c>
      <c r="O116" s="508">
        <f t="shared" ca="1" si="107"/>
        <v>0</v>
      </c>
      <c r="P116" s="16">
        <f t="shared" ca="1" si="108"/>
        <v>0</v>
      </c>
      <c r="Q116" s="17">
        <f>+Q115+1</f>
        <v>3</v>
      </c>
      <c r="R116" s="18">
        <f t="shared" si="138"/>
        <v>42795</v>
      </c>
      <c r="S116" s="10">
        <f t="shared" si="124"/>
        <v>0.04</v>
      </c>
      <c r="T116" s="14" t="str">
        <f t="shared" ca="1" si="125"/>
        <v>I/O</v>
      </c>
      <c r="U116" s="5">
        <f t="shared" ca="1" si="126"/>
        <v>500000</v>
      </c>
      <c r="V116" s="5">
        <f t="shared" ca="1" si="109"/>
        <v>-1666.6666666666667</v>
      </c>
      <c r="W116" s="5">
        <f t="shared" ca="1" si="110"/>
        <v>-1666.6666666666667</v>
      </c>
      <c r="X116" s="5">
        <f t="shared" ca="1" si="127"/>
        <v>0</v>
      </c>
      <c r="Y116" s="5">
        <f t="shared" ca="1" si="128"/>
        <v>500000</v>
      </c>
      <c r="Z116" s="199"/>
      <c r="AA116" s="16">
        <f t="shared" ca="1" si="116"/>
        <v>9</v>
      </c>
      <c r="AB116" s="508">
        <f t="shared" ca="1" si="111"/>
        <v>98</v>
      </c>
      <c r="AC116" s="16">
        <f>+AC115</f>
        <v>9</v>
      </c>
      <c r="AD116" s="17">
        <f>+AD115+1</f>
        <v>3</v>
      </c>
      <c r="AE116" s="18">
        <f t="shared" ca="1" si="139"/>
        <v>47392</v>
      </c>
      <c r="AF116" s="10">
        <f>IF(Dashboard!$R$24="Float",AF115+Dashboard!$R$24/12,AF115)</f>
        <v>0.06</v>
      </c>
      <c r="AG116" s="14">
        <f t="shared" si="129"/>
        <v>99</v>
      </c>
      <c r="AH116" s="5">
        <f t="shared" si="130"/>
        <v>0</v>
      </c>
      <c r="AI116" s="5">
        <f t="shared" si="113"/>
        <v>0</v>
      </c>
      <c r="AJ116" s="5">
        <f t="shared" si="114"/>
        <v>0</v>
      </c>
      <c r="AK116" s="5">
        <f t="shared" si="131"/>
        <v>0</v>
      </c>
      <c r="AL116" s="5">
        <f t="shared" si="132"/>
        <v>0</v>
      </c>
      <c r="AM116" s="199"/>
      <c r="AN116" s="16">
        <f>+AN115</f>
        <v>10</v>
      </c>
      <c r="AO116" s="17">
        <f>+AO115+1</f>
        <v>3</v>
      </c>
      <c r="AP116" s="18">
        <f t="shared" ca="1" si="140"/>
        <v>47392</v>
      </c>
      <c r="AQ116" s="10">
        <f>IF(Dashboard!$S$20="Float",AQ115+Dashboard!$T$20/12,AQ115)</f>
        <v>4.4999999999999998E-2</v>
      </c>
      <c r="AR116" s="14">
        <f t="shared" si="133"/>
        <v>99</v>
      </c>
      <c r="AS116" s="5">
        <f t="shared" si="134"/>
        <v>3019209.6044024029</v>
      </c>
      <c r="AT116" s="5">
        <f t="shared" si="117"/>
        <v>-18117.071455543861</v>
      </c>
      <c r="AU116" s="5">
        <f t="shared" si="118"/>
        <v>-11322.03601650901</v>
      </c>
      <c r="AV116" s="5">
        <f t="shared" si="135"/>
        <v>-6795.0354390348512</v>
      </c>
      <c r="AW116" s="5">
        <f t="shared" si="136"/>
        <v>3012414.568963368</v>
      </c>
      <c r="AX116" s="199"/>
    </row>
    <row r="117" spans="1:50">
      <c r="A117" s="73"/>
      <c r="B117" s="572"/>
      <c r="C117" s="16">
        <f>+C116</f>
        <v>9</v>
      </c>
      <c r="D117" s="17">
        <f t="shared" ref="D117:D125" si="164">+D116+1</f>
        <v>4</v>
      </c>
      <c r="E117" s="18">
        <f t="shared" ca="1" si="137"/>
        <v>47423</v>
      </c>
      <c r="F117" s="10">
        <f>+VLOOKUP($C117,Dashboard!$S$4:$T$13,2,0)</f>
        <v>0.04</v>
      </c>
      <c r="G117" s="14">
        <f t="shared" si="119"/>
        <v>100</v>
      </c>
      <c r="H117" s="5">
        <f t="shared" si="120"/>
        <v>3117508.1001096177</v>
      </c>
      <c r="I117" s="5">
        <f t="shared" si="105"/>
        <v>-17903.073579954726</v>
      </c>
      <c r="J117" s="5">
        <f t="shared" si="106"/>
        <v>-10391.693667032059</v>
      </c>
      <c r="K117" s="5">
        <f t="shared" si="121"/>
        <v>-7511.3799129226663</v>
      </c>
      <c r="L117" s="5">
        <f t="shared" si="122"/>
        <v>3109996.7201966951</v>
      </c>
      <c r="M117" s="199"/>
      <c r="N117" s="16">
        <f t="shared" ca="1" si="123"/>
        <v>0</v>
      </c>
      <c r="O117" s="508">
        <f t="shared" ca="1" si="107"/>
        <v>0</v>
      </c>
      <c r="P117" s="16">
        <f t="shared" ca="1" si="108"/>
        <v>0</v>
      </c>
      <c r="Q117" s="17">
        <f t="shared" ref="Q117:Q125" si="165">+Q116+1</f>
        <v>4</v>
      </c>
      <c r="R117" s="18">
        <f t="shared" si="138"/>
        <v>42826</v>
      </c>
      <c r="S117" s="10">
        <f t="shared" si="124"/>
        <v>0.04</v>
      </c>
      <c r="T117" s="14" t="str">
        <f t="shared" ca="1" si="125"/>
        <v>I/O</v>
      </c>
      <c r="U117" s="5">
        <f t="shared" ca="1" si="126"/>
        <v>500000</v>
      </c>
      <c r="V117" s="5">
        <f t="shared" ca="1" si="109"/>
        <v>-1666.6666666666667</v>
      </c>
      <c r="W117" s="5">
        <f t="shared" ca="1" si="110"/>
        <v>-1666.6666666666667</v>
      </c>
      <c r="X117" s="5">
        <f t="shared" ca="1" si="127"/>
        <v>0</v>
      </c>
      <c r="Y117" s="5">
        <f t="shared" ca="1" si="128"/>
        <v>500000</v>
      </c>
      <c r="Z117" s="199"/>
      <c r="AA117" s="16">
        <f t="shared" ca="1" si="116"/>
        <v>9</v>
      </c>
      <c r="AB117" s="508">
        <f t="shared" ca="1" si="111"/>
        <v>99</v>
      </c>
      <c r="AC117" s="16">
        <f>+AC116</f>
        <v>9</v>
      </c>
      <c r="AD117" s="17">
        <f t="shared" ref="AD117:AD125" si="166">+AD116+1</f>
        <v>4</v>
      </c>
      <c r="AE117" s="18">
        <f t="shared" ca="1" si="139"/>
        <v>47423</v>
      </c>
      <c r="AF117" s="10">
        <f>IF(Dashboard!$R$24="Float",AF116+Dashboard!$R$24/12,AF116)</f>
        <v>0.06</v>
      </c>
      <c r="AG117" s="14">
        <f t="shared" si="129"/>
        <v>100</v>
      </c>
      <c r="AH117" s="5">
        <f t="shared" si="130"/>
        <v>0</v>
      </c>
      <c r="AI117" s="5">
        <f t="shared" si="113"/>
        <v>0</v>
      </c>
      <c r="AJ117" s="5">
        <f t="shared" si="114"/>
        <v>0</v>
      </c>
      <c r="AK117" s="5">
        <f t="shared" si="131"/>
        <v>0</v>
      </c>
      <c r="AL117" s="5">
        <f t="shared" si="132"/>
        <v>0</v>
      </c>
      <c r="AM117" s="199"/>
      <c r="AN117" s="16">
        <f>+AN116</f>
        <v>10</v>
      </c>
      <c r="AO117" s="17">
        <f t="shared" ref="AO117:AO125" si="167">+AO116+1</f>
        <v>4</v>
      </c>
      <c r="AP117" s="18">
        <f t="shared" ca="1" si="140"/>
        <v>47423</v>
      </c>
      <c r="AQ117" s="10">
        <f>IF(Dashboard!$S$20="Float",AQ116+Dashboard!$T$20/12,AQ116)</f>
        <v>4.4999999999999998E-2</v>
      </c>
      <c r="AR117" s="14">
        <f t="shared" si="133"/>
        <v>100</v>
      </c>
      <c r="AS117" s="5">
        <f t="shared" si="134"/>
        <v>3012414.568963368</v>
      </c>
      <c r="AT117" s="5">
        <f t="shared" si="117"/>
        <v>-18117.071455543861</v>
      </c>
      <c r="AU117" s="5">
        <f t="shared" si="118"/>
        <v>-11296.55463361263</v>
      </c>
      <c r="AV117" s="5">
        <f t="shared" si="135"/>
        <v>-6820.5168219312309</v>
      </c>
      <c r="AW117" s="5">
        <f t="shared" si="136"/>
        <v>3005594.0521414368</v>
      </c>
      <c r="AX117" s="199"/>
    </row>
    <row r="118" spans="1:50">
      <c r="A118" s="73"/>
      <c r="B118" s="572"/>
      <c r="C118" s="16">
        <f t="shared" ref="C118:C125" si="168">+C117</f>
        <v>9</v>
      </c>
      <c r="D118" s="17">
        <f t="shared" si="164"/>
        <v>5</v>
      </c>
      <c r="E118" s="18">
        <f t="shared" ca="1" si="137"/>
        <v>47453</v>
      </c>
      <c r="F118" s="10">
        <f>+VLOOKUP($C118,Dashboard!$S$4:$T$13,2,0)</f>
        <v>0.04</v>
      </c>
      <c r="G118" s="14">
        <f t="shared" si="119"/>
        <v>101</v>
      </c>
      <c r="H118" s="5">
        <f t="shared" si="120"/>
        <v>3109996.7201966951</v>
      </c>
      <c r="I118" s="5">
        <f t="shared" si="105"/>
        <v>-17903.073579954726</v>
      </c>
      <c r="J118" s="5">
        <f t="shared" si="106"/>
        <v>-10366.655733988984</v>
      </c>
      <c r="K118" s="5">
        <f t="shared" si="121"/>
        <v>-7536.4178459657414</v>
      </c>
      <c r="L118" s="5">
        <f t="shared" si="122"/>
        <v>3102460.3023507292</v>
      </c>
      <c r="M118" s="199"/>
      <c r="N118" s="16">
        <f t="shared" ca="1" si="123"/>
        <v>0</v>
      </c>
      <c r="O118" s="508">
        <f t="shared" ca="1" si="107"/>
        <v>0</v>
      </c>
      <c r="P118" s="16">
        <f t="shared" ca="1" si="108"/>
        <v>0</v>
      </c>
      <c r="Q118" s="17">
        <f t="shared" si="165"/>
        <v>5</v>
      </c>
      <c r="R118" s="18">
        <f t="shared" si="138"/>
        <v>42856</v>
      </c>
      <c r="S118" s="10">
        <f t="shared" si="124"/>
        <v>0.04</v>
      </c>
      <c r="T118" s="14" t="str">
        <f t="shared" ca="1" si="125"/>
        <v>I/O</v>
      </c>
      <c r="U118" s="5">
        <f t="shared" ca="1" si="126"/>
        <v>500000</v>
      </c>
      <c r="V118" s="5">
        <f t="shared" ca="1" si="109"/>
        <v>-1666.6666666666667</v>
      </c>
      <c r="W118" s="5">
        <f t="shared" ca="1" si="110"/>
        <v>-1666.6666666666667</v>
      </c>
      <c r="X118" s="5">
        <f t="shared" ca="1" si="127"/>
        <v>0</v>
      </c>
      <c r="Y118" s="5">
        <f t="shared" ca="1" si="128"/>
        <v>500000</v>
      </c>
      <c r="Z118" s="199"/>
      <c r="AA118" s="16">
        <f t="shared" ca="1" si="116"/>
        <v>9</v>
      </c>
      <c r="AB118" s="508">
        <f t="shared" ca="1" si="111"/>
        <v>100</v>
      </c>
      <c r="AC118" s="16">
        <f t="shared" ref="AC118:AC125" si="169">+AC117</f>
        <v>9</v>
      </c>
      <c r="AD118" s="17">
        <f t="shared" si="166"/>
        <v>5</v>
      </c>
      <c r="AE118" s="18">
        <f t="shared" ca="1" si="139"/>
        <v>47453</v>
      </c>
      <c r="AF118" s="10">
        <f>IF(Dashboard!$R$24="Float",AF117+Dashboard!$R$24/12,AF117)</f>
        <v>0.06</v>
      </c>
      <c r="AG118" s="14">
        <f t="shared" si="129"/>
        <v>101</v>
      </c>
      <c r="AH118" s="5">
        <f t="shared" si="130"/>
        <v>0</v>
      </c>
      <c r="AI118" s="5">
        <f t="shared" si="113"/>
        <v>0</v>
      </c>
      <c r="AJ118" s="5">
        <f t="shared" si="114"/>
        <v>0</v>
      </c>
      <c r="AK118" s="5">
        <f t="shared" si="131"/>
        <v>0</v>
      </c>
      <c r="AL118" s="5">
        <f t="shared" si="132"/>
        <v>0</v>
      </c>
      <c r="AM118" s="199"/>
      <c r="AN118" s="16">
        <f t="shared" ref="AN118:AN125" si="170">+AN117</f>
        <v>10</v>
      </c>
      <c r="AO118" s="17">
        <f t="shared" si="167"/>
        <v>5</v>
      </c>
      <c r="AP118" s="18">
        <f t="shared" ca="1" si="140"/>
        <v>47453</v>
      </c>
      <c r="AQ118" s="10">
        <f>IF(Dashboard!$S$20="Float",AQ117+Dashboard!$T$20/12,AQ117)</f>
        <v>4.4999999999999998E-2</v>
      </c>
      <c r="AR118" s="14">
        <f t="shared" si="133"/>
        <v>101</v>
      </c>
      <c r="AS118" s="5">
        <f t="shared" si="134"/>
        <v>3005594.0521414368</v>
      </c>
      <c r="AT118" s="5">
        <f t="shared" si="117"/>
        <v>-18117.071455543864</v>
      </c>
      <c r="AU118" s="5">
        <f t="shared" si="118"/>
        <v>-11270.977695530388</v>
      </c>
      <c r="AV118" s="5">
        <f t="shared" si="135"/>
        <v>-6846.0937600134766</v>
      </c>
      <c r="AW118" s="5">
        <f t="shared" si="136"/>
        <v>2998747.9583814233</v>
      </c>
      <c r="AX118" s="199"/>
    </row>
    <row r="119" spans="1:50">
      <c r="A119" s="73"/>
      <c r="B119" s="572"/>
      <c r="C119" s="16">
        <f t="shared" si="168"/>
        <v>9</v>
      </c>
      <c r="D119" s="17">
        <f t="shared" si="164"/>
        <v>6</v>
      </c>
      <c r="E119" s="18">
        <f t="shared" ca="1" si="137"/>
        <v>47484</v>
      </c>
      <c r="F119" s="10">
        <f>+VLOOKUP($C119,Dashboard!$S$4:$T$13,2,0)</f>
        <v>0.04</v>
      </c>
      <c r="G119" s="14">
        <f t="shared" si="119"/>
        <v>102</v>
      </c>
      <c r="H119" s="5">
        <f t="shared" si="120"/>
        <v>3102460.3023507292</v>
      </c>
      <c r="I119" s="5">
        <f t="shared" si="105"/>
        <v>-17903.073579954726</v>
      </c>
      <c r="J119" s="5">
        <f t="shared" si="106"/>
        <v>-10341.534341169097</v>
      </c>
      <c r="K119" s="5">
        <f t="shared" si="121"/>
        <v>-7561.5392387856282</v>
      </c>
      <c r="L119" s="5">
        <f t="shared" si="122"/>
        <v>3094898.7631119434</v>
      </c>
      <c r="M119" s="199"/>
      <c r="N119" s="16">
        <f t="shared" ca="1" si="123"/>
        <v>0</v>
      </c>
      <c r="O119" s="508">
        <f t="shared" ca="1" si="107"/>
        <v>0</v>
      </c>
      <c r="P119" s="16">
        <f t="shared" ca="1" si="108"/>
        <v>0</v>
      </c>
      <c r="Q119" s="17">
        <f t="shared" si="165"/>
        <v>6</v>
      </c>
      <c r="R119" s="18">
        <f t="shared" si="138"/>
        <v>42887</v>
      </c>
      <c r="S119" s="10">
        <f t="shared" si="124"/>
        <v>0.04</v>
      </c>
      <c r="T119" s="14" t="str">
        <f t="shared" ca="1" si="125"/>
        <v>I/O</v>
      </c>
      <c r="U119" s="5">
        <f t="shared" ca="1" si="126"/>
        <v>500000</v>
      </c>
      <c r="V119" s="5">
        <f t="shared" ca="1" si="109"/>
        <v>-1666.6666666666667</v>
      </c>
      <c r="W119" s="5">
        <f t="shared" ca="1" si="110"/>
        <v>-1666.6666666666667</v>
      </c>
      <c r="X119" s="5">
        <f t="shared" ca="1" si="127"/>
        <v>0</v>
      </c>
      <c r="Y119" s="5">
        <f t="shared" ca="1" si="128"/>
        <v>500000</v>
      </c>
      <c r="Z119" s="199"/>
      <c r="AA119" s="16">
        <f t="shared" ca="1" si="116"/>
        <v>9</v>
      </c>
      <c r="AB119" s="508">
        <f t="shared" ca="1" si="111"/>
        <v>101</v>
      </c>
      <c r="AC119" s="16">
        <f t="shared" si="169"/>
        <v>9</v>
      </c>
      <c r="AD119" s="17">
        <f t="shared" si="166"/>
        <v>6</v>
      </c>
      <c r="AE119" s="18">
        <f t="shared" ca="1" si="139"/>
        <v>47484</v>
      </c>
      <c r="AF119" s="10">
        <f>IF(Dashboard!$R$24="Float",AF118+Dashboard!$R$24/12,AF118)</f>
        <v>0.06</v>
      </c>
      <c r="AG119" s="14">
        <f t="shared" si="129"/>
        <v>102</v>
      </c>
      <c r="AH119" s="5">
        <f t="shared" si="130"/>
        <v>0</v>
      </c>
      <c r="AI119" s="5">
        <f t="shared" si="113"/>
        <v>0</v>
      </c>
      <c r="AJ119" s="5">
        <f t="shared" si="114"/>
        <v>0</v>
      </c>
      <c r="AK119" s="5">
        <f t="shared" si="131"/>
        <v>0</v>
      </c>
      <c r="AL119" s="5">
        <f t="shared" si="132"/>
        <v>0</v>
      </c>
      <c r="AM119" s="199"/>
      <c r="AN119" s="16">
        <f t="shared" si="170"/>
        <v>10</v>
      </c>
      <c r="AO119" s="17">
        <f t="shared" si="167"/>
        <v>6</v>
      </c>
      <c r="AP119" s="18">
        <f t="shared" ca="1" si="140"/>
        <v>47484</v>
      </c>
      <c r="AQ119" s="10">
        <f>IF(Dashboard!$S$20="Float",AQ118+Dashboard!$T$20/12,AQ118)</f>
        <v>4.4999999999999998E-2</v>
      </c>
      <c r="AR119" s="14">
        <f t="shared" si="133"/>
        <v>102</v>
      </c>
      <c r="AS119" s="5">
        <f t="shared" si="134"/>
        <v>2998747.9583814233</v>
      </c>
      <c r="AT119" s="5">
        <f t="shared" si="117"/>
        <v>-18117.071455543861</v>
      </c>
      <c r="AU119" s="5">
        <f t="shared" si="118"/>
        <v>-11245.304843930337</v>
      </c>
      <c r="AV119" s="5">
        <f t="shared" si="135"/>
        <v>-6871.7666116135242</v>
      </c>
      <c r="AW119" s="5">
        <f t="shared" si="136"/>
        <v>2991876.1917698099</v>
      </c>
      <c r="AX119" s="199"/>
    </row>
    <row r="120" spans="1:50">
      <c r="A120" s="73"/>
      <c r="B120" s="572"/>
      <c r="C120" s="16">
        <f t="shared" si="168"/>
        <v>9</v>
      </c>
      <c r="D120" s="17">
        <f t="shared" si="164"/>
        <v>7</v>
      </c>
      <c r="E120" s="18">
        <f t="shared" ca="1" si="137"/>
        <v>47515</v>
      </c>
      <c r="F120" s="10">
        <f>+VLOOKUP($C120,Dashboard!$S$4:$T$13,2,0)</f>
        <v>0.04</v>
      </c>
      <c r="G120" s="14">
        <f t="shared" si="119"/>
        <v>103</v>
      </c>
      <c r="H120" s="5">
        <f t="shared" si="120"/>
        <v>3094898.7631119434</v>
      </c>
      <c r="I120" s="5">
        <f t="shared" si="105"/>
        <v>-17903.073579954722</v>
      </c>
      <c r="J120" s="5">
        <f t="shared" si="106"/>
        <v>-10316.329210373146</v>
      </c>
      <c r="K120" s="5">
        <f t="shared" si="121"/>
        <v>-7586.7443695815764</v>
      </c>
      <c r="L120" s="5">
        <f t="shared" si="122"/>
        <v>3087312.0187423616</v>
      </c>
      <c r="M120" s="199"/>
      <c r="N120" s="16">
        <f t="shared" ca="1" si="123"/>
        <v>0</v>
      </c>
      <c r="O120" s="508">
        <f t="shared" ca="1" si="107"/>
        <v>0</v>
      </c>
      <c r="P120" s="16">
        <f t="shared" ca="1" si="108"/>
        <v>0</v>
      </c>
      <c r="Q120" s="17">
        <f t="shared" si="165"/>
        <v>7</v>
      </c>
      <c r="R120" s="18">
        <f t="shared" si="138"/>
        <v>42917</v>
      </c>
      <c r="S120" s="10">
        <f t="shared" si="124"/>
        <v>0.04</v>
      </c>
      <c r="T120" s="14" t="str">
        <f t="shared" ca="1" si="125"/>
        <v>I/O</v>
      </c>
      <c r="U120" s="5">
        <f t="shared" ca="1" si="126"/>
        <v>500000</v>
      </c>
      <c r="V120" s="5">
        <f t="shared" ca="1" si="109"/>
        <v>-1666.6666666666667</v>
      </c>
      <c r="W120" s="5">
        <f t="shared" ca="1" si="110"/>
        <v>-1666.6666666666667</v>
      </c>
      <c r="X120" s="5">
        <f t="shared" ca="1" si="127"/>
        <v>0</v>
      </c>
      <c r="Y120" s="5">
        <f t="shared" ca="1" si="128"/>
        <v>500000</v>
      </c>
      <c r="Z120" s="199"/>
      <c r="AA120" s="16">
        <f t="shared" ca="1" si="116"/>
        <v>9</v>
      </c>
      <c r="AB120" s="508">
        <f t="shared" ca="1" si="111"/>
        <v>102</v>
      </c>
      <c r="AC120" s="16">
        <f t="shared" si="169"/>
        <v>9</v>
      </c>
      <c r="AD120" s="17">
        <f t="shared" si="166"/>
        <v>7</v>
      </c>
      <c r="AE120" s="18">
        <f t="shared" ca="1" si="139"/>
        <v>47515</v>
      </c>
      <c r="AF120" s="10">
        <f>IF(Dashboard!$R$24="Float",AF119+Dashboard!$R$24/12,AF119)</f>
        <v>0.06</v>
      </c>
      <c r="AG120" s="14">
        <f t="shared" si="129"/>
        <v>103</v>
      </c>
      <c r="AH120" s="5">
        <f t="shared" si="130"/>
        <v>0</v>
      </c>
      <c r="AI120" s="5">
        <f t="shared" si="113"/>
        <v>0</v>
      </c>
      <c r="AJ120" s="5">
        <f t="shared" si="114"/>
        <v>0</v>
      </c>
      <c r="AK120" s="5">
        <f t="shared" si="131"/>
        <v>0</v>
      </c>
      <c r="AL120" s="5">
        <f t="shared" si="132"/>
        <v>0</v>
      </c>
      <c r="AM120" s="199"/>
      <c r="AN120" s="16">
        <f t="shared" si="170"/>
        <v>10</v>
      </c>
      <c r="AO120" s="17">
        <f t="shared" si="167"/>
        <v>7</v>
      </c>
      <c r="AP120" s="18">
        <f t="shared" ca="1" si="140"/>
        <v>47515</v>
      </c>
      <c r="AQ120" s="10">
        <f>IF(Dashboard!$S$20="Float",AQ119+Dashboard!$T$20/12,AQ119)</f>
        <v>4.4999999999999998E-2</v>
      </c>
      <c r="AR120" s="14">
        <f t="shared" si="133"/>
        <v>103</v>
      </c>
      <c r="AS120" s="5">
        <f t="shared" si="134"/>
        <v>2991876.1917698099</v>
      </c>
      <c r="AT120" s="5">
        <f t="shared" si="117"/>
        <v>-18117.071455543861</v>
      </c>
      <c r="AU120" s="5">
        <f t="shared" si="118"/>
        <v>-11219.535719136788</v>
      </c>
      <c r="AV120" s="5">
        <f t="shared" si="135"/>
        <v>-6897.5357364070733</v>
      </c>
      <c r="AW120" s="5">
        <f t="shared" si="136"/>
        <v>2984978.6560334028</v>
      </c>
      <c r="AX120" s="199"/>
    </row>
    <row r="121" spans="1:50">
      <c r="A121" s="73"/>
      <c r="B121" s="572"/>
      <c r="C121" s="16">
        <f t="shared" si="168"/>
        <v>9</v>
      </c>
      <c r="D121" s="17">
        <f t="shared" si="164"/>
        <v>8</v>
      </c>
      <c r="E121" s="18">
        <f t="shared" ca="1" si="137"/>
        <v>47543</v>
      </c>
      <c r="F121" s="10">
        <f>+VLOOKUP($C121,Dashboard!$S$4:$T$13,2,0)</f>
        <v>0.04</v>
      </c>
      <c r="G121" s="14">
        <f t="shared" si="119"/>
        <v>104</v>
      </c>
      <c r="H121" s="5">
        <f t="shared" si="120"/>
        <v>3087312.0187423616</v>
      </c>
      <c r="I121" s="5">
        <f t="shared" si="105"/>
        <v>-17903.073579954722</v>
      </c>
      <c r="J121" s="5">
        <f t="shared" si="106"/>
        <v>-10291.04006247454</v>
      </c>
      <c r="K121" s="5">
        <f t="shared" si="121"/>
        <v>-7612.0335174801821</v>
      </c>
      <c r="L121" s="5">
        <f t="shared" si="122"/>
        <v>3079699.9852248812</v>
      </c>
      <c r="M121" s="199"/>
      <c r="N121" s="16">
        <f t="shared" ca="1" si="123"/>
        <v>0</v>
      </c>
      <c r="O121" s="508">
        <f t="shared" ca="1" si="107"/>
        <v>0</v>
      </c>
      <c r="P121" s="16">
        <f t="shared" ca="1" si="108"/>
        <v>0</v>
      </c>
      <c r="Q121" s="17">
        <f t="shared" si="165"/>
        <v>8</v>
      </c>
      <c r="R121" s="18">
        <f t="shared" si="138"/>
        <v>42948</v>
      </c>
      <c r="S121" s="10">
        <f t="shared" si="124"/>
        <v>0.04</v>
      </c>
      <c r="T121" s="14" t="str">
        <f t="shared" ca="1" si="125"/>
        <v>I/O</v>
      </c>
      <c r="U121" s="5">
        <f t="shared" ca="1" si="126"/>
        <v>500000</v>
      </c>
      <c r="V121" s="5">
        <f t="shared" ca="1" si="109"/>
        <v>-1666.6666666666667</v>
      </c>
      <c r="W121" s="5">
        <f t="shared" ca="1" si="110"/>
        <v>-1666.6666666666667</v>
      </c>
      <c r="X121" s="5">
        <f t="shared" ca="1" si="127"/>
        <v>0</v>
      </c>
      <c r="Y121" s="5">
        <f t="shared" ca="1" si="128"/>
        <v>500000</v>
      </c>
      <c r="Z121" s="199"/>
      <c r="AA121" s="16">
        <f t="shared" ca="1" si="116"/>
        <v>9</v>
      </c>
      <c r="AB121" s="508">
        <f t="shared" ca="1" si="111"/>
        <v>103</v>
      </c>
      <c r="AC121" s="16">
        <f t="shared" si="169"/>
        <v>9</v>
      </c>
      <c r="AD121" s="17">
        <f t="shared" si="166"/>
        <v>8</v>
      </c>
      <c r="AE121" s="18">
        <f t="shared" ca="1" si="139"/>
        <v>47543</v>
      </c>
      <c r="AF121" s="10">
        <f>IF(Dashboard!$R$24="Float",AF120+Dashboard!$R$24/12,AF120)</f>
        <v>0.06</v>
      </c>
      <c r="AG121" s="14">
        <f t="shared" si="129"/>
        <v>104</v>
      </c>
      <c r="AH121" s="5">
        <f t="shared" si="130"/>
        <v>0</v>
      </c>
      <c r="AI121" s="5">
        <f t="shared" si="113"/>
        <v>0</v>
      </c>
      <c r="AJ121" s="5">
        <f t="shared" si="114"/>
        <v>0</v>
      </c>
      <c r="AK121" s="5">
        <f t="shared" si="131"/>
        <v>0</v>
      </c>
      <c r="AL121" s="5">
        <f t="shared" si="132"/>
        <v>0</v>
      </c>
      <c r="AM121" s="199"/>
      <c r="AN121" s="16">
        <f t="shared" si="170"/>
        <v>10</v>
      </c>
      <c r="AO121" s="17">
        <f t="shared" si="167"/>
        <v>8</v>
      </c>
      <c r="AP121" s="18">
        <f t="shared" ca="1" si="140"/>
        <v>47543</v>
      </c>
      <c r="AQ121" s="10">
        <f>IF(Dashboard!$S$20="Float",AQ120+Dashboard!$T$20/12,AQ120)</f>
        <v>4.4999999999999998E-2</v>
      </c>
      <c r="AR121" s="14">
        <f t="shared" si="133"/>
        <v>104</v>
      </c>
      <c r="AS121" s="5">
        <f t="shared" si="134"/>
        <v>2984978.6560334028</v>
      </c>
      <c r="AT121" s="5">
        <f t="shared" si="117"/>
        <v>-18117.071455543857</v>
      </c>
      <c r="AU121" s="5">
        <f t="shared" si="118"/>
        <v>-11193.66996012526</v>
      </c>
      <c r="AV121" s="5">
        <f t="shared" si="135"/>
        <v>-6923.4014954185968</v>
      </c>
      <c r="AW121" s="5">
        <f t="shared" si="136"/>
        <v>2978055.2545379843</v>
      </c>
      <c r="AX121" s="199"/>
    </row>
    <row r="122" spans="1:50">
      <c r="A122" s="73"/>
      <c r="B122" s="572"/>
      <c r="C122" s="16">
        <f t="shared" si="168"/>
        <v>9</v>
      </c>
      <c r="D122" s="17">
        <f t="shared" si="164"/>
        <v>9</v>
      </c>
      <c r="E122" s="18">
        <f t="shared" ca="1" si="137"/>
        <v>47574</v>
      </c>
      <c r="F122" s="10">
        <f>+VLOOKUP($C122,Dashboard!$S$4:$T$13,2,0)</f>
        <v>0.04</v>
      </c>
      <c r="G122" s="14">
        <f t="shared" si="119"/>
        <v>105</v>
      </c>
      <c r="H122" s="5">
        <f t="shared" si="120"/>
        <v>3079699.9852248812</v>
      </c>
      <c r="I122" s="5">
        <f t="shared" si="105"/>
        <v>-17903.073579954722</v>
      </c>
      <c r="J122" s="5">
        <f t="shared" si="106"/>
        <v>-10265.666617416271</v>
      </c>
      <c r="K122" s="5">
        <f t="shared" si="121"/>
        <v>-7637.4069625384509</v>
      </c>
      <c r="L122" s="5">
        <f t="shared" si="122"/>
        <v>3072062.5782623426</v>
      </c>
      <c r="M122" s="199"/>
      <c r="N122" s="16">
        <f t="shared" ca="1" si="123"/>
        <v>0</v>
      </c>
      <c r="O122" s="508">
        <f t="shared" ca="1" si="107"/>
        <v>0</v>
      </c>
      <c r="P122" s="16">
        <f t="shared" ca="1" si="108"/>
        <v>0</v>
      </c>
      <c r="Q122" s="17">
        <f t="shared" si="165"/>
        <v>9</v>
      </c>
      <c r="R122" s="18">
        <f t="shared" si="138"/>
        <v>42979</v>
      </c>
      <c r="S122" s="10">
        <f t="shared" si="124"/>
        <v>0.04</v>
      </c>
      <c r="T122" s="14" t="str">
        <f t="shared" ca="1" si="125"/>
        <v>I/O</v>
      </c>
      <c r="U122" s="5">
        <f t="shared" ca="1" si="126"/>
        <v>500000</v>
      </c>
      <c r="V122" s="5">
        <f t="shared" ca="1" si="109"/>
        <v>-1666.6666666666667</v>
      </c>
      <c r="W122" s="5">
        <f t="shared" ca="1" si="110"/>
        <v>-1666.6666666666667</v>
      </c>
      <c r="X122" s="5">
        <f t="shared" ca="1" si="127"/>
        <v>0</v>
      </c>
      <c r="Y122" s="5">
        <f t="shared" ca="1" si="128"/>
        <v>500000</v>
      </c>
      <c r="Z122" s="199"/>
      <c r="AA122" s="16">
        <f t="shared" ca="1" si="116"/>
        <v>9</v>
      </c>
      <c r="AB122" s="508">
        <f t="shared" ca="1" si="111"/>
        <v>104</v>
      </c>
      <c r="AC122" s="16">
        <f t="shared" si="169"/>
        <v>9</v>
      </c>
      <c r="AD122" s="17">
        <f t="shared" si="166"/>
        <v>9</v>
      </c>
      <c r="AE122" s="18">
        <f t="shared" ca="1" si="139"/>
        <v>47574</v>
      </c>
      <c r="AF122" s="10">
        <f>IF(Dashboard!$R$24="Float",AF121+Dashboard!$R$24/12,AF121)</f>
        <v>0.06</v>
      </c>
      <c r="AG122" s="14">
        <f t="shared" si="129"/>
        <v>105</v>
      </c>
      <c r="AH122" s="5">
        <f t="shared" si="130"/>
        <v>0</v>
      </c>
      <c r="AI122" s="5">
        <f t="shared" si="113"/>
        <v>0</v>
      </c>
      <c r="AJ122" s="5">
        <f t="shared" si="114"/>
        <v>0</v>
      </c>
      <c r="AK122" s="5">
        <f t="shared" si="131"/>
        <v>0</v>
      </c>
      <c r="AL122" s="5">
        <f t="shared" si="132"/>
        <v>0</v>
      </c>
      <c r="AM122" s="199"/>
      <c r="AN122" s="16">
        <f t="shared" si="170"/>
        <v>10</v>
      </c>
      <c r="AO122" s="17">
        <f t="shared" si="167"/>
        <v>9</v>
      </c>
      <c r="AP122" s="18">
        <f t="shared" ca="1" si="140"/>
        <v>47574</v>
      </c>
      <c r="AQ122" s="10">
        <f>IF(Dashboard!$S$20="Float",AQ121+Dashboard!$T$20/12,AQ121)</f>
        <v>4.4999999999999998E-2</v>
      </c>
      <c r="AR122" s="14">
        <f t="shared" si="133"/>
        <v>105</v>
      </c>
      <c r="AS122" s="5">
        <f t="shared" si="134"/>
        <v>2978055.2545379843</v>
      </c>
      <c r="AT122" s="5">
        <f t="shared" si="117"/>
        <v>-18117.071455543861</v>
      </c>
      <c r="AU122" s="5">
        <f t="shared" si="118"/>
        <v>-11167.707204517441</v>
      </c>
      <c r="AV122" s="5">
        <f t="shared" si="135"/>
        <v>-6949.3642510264199</v>
      </c>
      <c r="AW122" s="5">
        <f t="shared" si="136"/>
        <v>2971105.8902869578</v>
      </c>
      <c r="AX122" s="199"/>
    </row>
    <row r="123" spans="1:50">
      <c r="A123" s="73"/>
      <c r="B123" s="572"/>
      <c r="C123" s="16">
        <f t="shared" si="168"/>
        <v>9</v>
      </c>
      <c r="D123" s="17">
        <f t="shared" si="164"/>
        <v>10</v>
      </c>
      <c r="E123" s="18">
        <f t="shared" ca="1" si="137"/>
        <v>47604</v>
      </c>
      <c r="F123" s="10">
        <f>+VLOOKUP($C123,Dashboard!$S$4:$T$13,2,0)</f>
        <v>0.04</v>
      </c>
      <c r="G123" s="14">
        <f t="shared" si="119"/>
        <v>106</v>
      </c>
      <c r="H123" s="5">
        <f t="shared" si="120"/>
        <v>3072062.5782623426</v>
      </c>
      <c r="I123" s="5">
        <f t="shared" si="105"/>
        <v>-17903.073579954726</v>
      </c>
      <c r="J123" s="5">
        <f t="shared" si="106"/>
        <v>-10240.208594207808</v>
      </c>
      <c r="K123" s="5">
        <f t="shared" si="121"/>
        <v>-7662.8649857469172</v>
      </c>
      <c r="L123" s="5">
        <f t="shared" si="122"/>
        <v>3064399.7132765958</v>
      </c>
      <c r="M123" s="199"/>
      <c r="N123" s="16">
        <f t="shared" ca="1" si="123"/>
        <v>0</v>
      </c>
      <c r="O123" s="508">
        <f t="shared" ca="1" si="107"/>
        <v>0</v>
      </c>
      <c r="P123" s="16">
        <f t="shared" ca="1" si="108"/>
        <v>0</v>
      </c>
      <c r="Q123" s="17">
        <f t="shared" si="165"/>
        <v>10</v>
      </c>
      <c r="R123" s="18">
        <f t="shared" si="138"/>
        <v>43009</v>
      </c>
      <c r="S123" s="10">
        <f t="shared" si="124"/>
        <v>0.04</v>
      </c>
      <c r="T123" s="14" t="str">
        <f t="shared" ca="1" si="125"/>
        <v>I/O</v>
      </c>
      <c r="U123" s="5">
        <f t="shared" ca="1" si="126"/>
        <v>500000</v>
      </c>
      <c r="V123" s="5">
        <f t="shared" ca="1" si="109"/>
        <v>-1666.6666666666667</v>
      </c>
      <c r="W123" s="5">
        <f t="shared" ca="1" si="110"/>
        <v>-1666.6666666666667</v>
      </c>
      <c r="X123" s="5">
        <f t="shared" ca="1" si="127"/>
        <v>0</v>
      </c>
      <c r="Y123" s="5">
        <f t="shared" ca="1" si="128"/>
        <v>500000</v>
      </c>
      <c r="Z123" s="199"/>
      <c r="AA123" s="16">
        <f t="shared" ca="1" si="116"/>
        <v>9</v>
      </c>
      <c r="AB123" s="508">
        <f t="shared" ca="1" si="111"/>
        <v>105</v>
      </c>
      <c r="AC123" s="16">
        <f t="shared" si="169"/>
        <v>9</v>
      </c>
      <c r="AD123" s="17">
        <f t="shared" si="166"/>
        <v>10</v>
      </c>
      <c r="AE123" s="18">
        <f t="shared" ca="1" si="139"/>
        <v>47604</v>
      </c>
      <c r="AF123" s="10">
        <f>IF(Dashboard!$R$24="Float",AF122+Dashboard!$R$24/12,AF122)</f>
        <v>0.06</v>
      </c>
      <c r="AG123" s="14">
        <f t="shared" si="129"/>
        <v>106</v>
      </c>
      <c r="AH123" s="5">
        <f t="shared" si="130"/>
        <v>0</v>
      </c>
      <c r="AI123" s="5">
        <f t="shared" si="113"/>
        <v>0</v>
      </c>
      <c r="AJ123" s="5">
        <f t="shared" si="114"/>
        <v>0</v>
      </c>
      <c r="AK123" s="5">
        <f t="shared" si="131"/>
        <v>0</v>
      </c>
      <c r="AL123" s="5">
        <f t="shared" si="132"/>
        <v>0</v>
      </c>
      <c r="AM123" s="199"/>
      <c r="AN123" s="16">
        <f t="shared" si="170"/>
        <v>10</v>
      </c>
      <c r="AO123" s="17">
        <f t="shared" si="167"/>
        <v>10</v>
      </c>
      <c r="AP123" s="18">
        <f t="shared" ca="1" si="140"/>
        <v>47604</v>
      </c>
      <c r="AQ123" s="10">
        <f>IF(Dashboard!$S$20="Float",AQ122+Dashboard!$T$20/12,AQ122)</f>
        <v>4.4999999999999998E-2</v>
      </c>
      <c r="AR123" s="14">
        <f t="shared" si="133"/>
        <v>106</v>
      </c>
      <c r="AS123" s="5">
        <f t="shared" si="134"/>
        <v>2971105.8902869578</v>
      </c>
      <c r="AT123" s="5">
        <f t="shared" si="117"/>
        <v>-18117.071455543857</v>
      </c>
      <c r="AU123" s="5">
        <f t="shared" si="118"/>
        <v>-11141.647088576092</v>
      </c>
      <c r="AV123" s="5">
        <f t="shared" si="135"/>
        <v>-6975.4243669677653</v>
      </c>
      <c r="AW123" s="5">
        <f t="shared" si="136"/>
        <v>2964130.4659199901</v>
      </c>
      <c r="AX123" s="199"/>
    </row>
    <row r="124" spans="1:50">
      <c r="A124" s="73"/>
      <c r="B124" s="572"/>
      <c r="C124" s="16">
        <f t="shared" si="168"/>
        <v>9</v>
      </c>
      <c r="D124" s="17">
        <f t="shared" si="164"/>
        <v>11</v>
      </c>
      <c r="E124" s="18">
        <f t="shared" ca="1" si="137"/>
        <v>47635</v>
      </c>
      <c r="F124" s="10">
        <f>+VLOOKUP($C124,Dashboard!$S$4:$T$13,2,0)</f>
        <v>0.04</v>
      </c>
      <c r="G124" s="14">
        <f t="shared" si="119"/>
        <v>107</v>
      </c>
      <c r="H124" s="5">
        <f t="shared" si="120"/>
        <v>3064399.7132765958</v>
      </c>
      <c r="I124" s="5">
        <f t="shared" si="105"/>
        <v>-17903.073579954722</v>
      </c>
      <c r="J124" s="5">
        <f t="shared" si="106"/>
        <v>-10214.665710921987</v>
      </c>
      <c r="K124" s="5">
        <f t="shared" si="121"/>
        <v>-7688.4078690327351</v>
      </c>
      <c r="L124" s="5">
        <f t="shared" si="122"/>
        <v>3056711.3054075632</v>
      </c>
      <c r="M124" s="199"/>
      <c r="N124" s="16">
        <f t="shared" ca="1" si="123"/>
        <v>0</v>
      </c>
      <c r="O124" s="508">
        <f t="shared" ca="1" si="107"/>
        <v>0</v>
      </c>
      <c r="P124" s="16">
        <f t="shared" ca="1" si="108"/>
        <v>0</v>
      </c>
      <c r="Q124" s="17">
        <f t="shared" si="165"/>
        <v>11</v>
      </c>
      <c r="R124" s="18">
        <f t="shared" si="138"/>
        <v>43040</v>
      </c>
      <c r="S124" s="10">
        <f t="shared" si="124"/>
        <v>0.04</v>
      </c>
      <c r="T124" s="14" t="str">
        <f t="shared" ca="1" si="125"/>
        <v>I/O</v>
      </c>
      <c r="U124" s="5">
        <f t="shared" ca="1" si="126"/>
        <v>500000</v>
      </c>
      <c r="V124" s="5">
        <f t="shared" ca="1" si="109"/>
        <v>-1666.6666666666667</v>
      </c>
      <c r="W124" s="5">
        <f t="shared" ca="1" si="110"/>
        <v>-1666.6666666666667</v>
      </c>
      <c r="X124" s="5">
        <f t="shared" ca="1" si="127"/>
        <v>0</v>
      </c>
      <c r="Y124" s="5">
        <f t="shared" ca="1" si="128"/>
        <v>500000</v>
      </c>
      <c r="Z124" s="199"/>
      <c r="AA124" s="16">
        <f t="shared" ca="1" si="116"/>
        <v>9</v>
      </c>
      <c r="AB124" s="508">
        <f t="shared" ca="1" si="111"/>
        <v>106</v>
      </c>
      <c r="AC124" s="16">
        <f t="shared" si="169"/>
        <v>9</v>
      </c>
      <c r="AD124" s="17">
        <f t="shared" si="166"/>
        <v>11</v>
      </c>
      <c r="AE124" s="18">
        <f t="shared" ca="1" si="139"/>
        <v>47635</v>
      </c>
      <c r="AF124" s="10">
        <f>IF(Dashboard!$R$24="Float",AF123+Dashboard!$R$24/12,AF123)</f>
        <v>0.06</v>
      </c>
      <c r="AG124" s="14">
        <f t="shared" si="129"/>
        <v>107</v>
      </c>
      <c r="AH124" s="5">
        <f t="shared" si="130"/>
        <v>0</v>
      </c>
      <c r="AI124" s="5">
        <f t="shared" si="113"/>
        <v>0</v>
      </c>
      <c r="AJ124" s="5">
        <f t="shared" si="114"/>
        <v>0</v>
      </c>
      <c r="AK124" s="5">
        <f t="shared" si="131"/>
        <v>0</v>
      </c>
      <c r="AL124" s="5">
        <f t="shared" si="132"/>
        <v>0</v>
      </c>
      <c r="AM124" s="199"/>
      <c r="AN124" s="16">
        <f t="shared" si="170"/>
        <v>10</v>
      </c>
      <c r="AO124" s="17">
        <f t="shared" si="167"/>
        <v>11</v>
      </c>
      <c r="AP124" s="18">
        <f t="shared" ca="1" si="140"/>
        <v>47635</v>
      </c>
      <c r="AQ124" s="10">
        <f>IF(Dashboard!$S$20="Float",AQ123+Dashboard!$T$20/12,AQ123)</f>
        <v>4.4999999999999998E-2</v>
      </c>
      <c r="AR124" s="14">
        <f t="shared" si="133"/>
        <v>107</v>
      </c>
      <c r="AS124" s="5">
        <f t="shared" si="134"/>
        <v>2964130.4659199901</v>
      </c>
      <c r="AT124" s="5">
        <f t="shared" si="117"/>
        <v>-18117.071455543861</v>
      </c>
      <c r="AU124" s="5">
        <f t="shared" si="118"/>
        <v>-11115.489247199963</v>
      </c>
      <c r="AV124" s="5">
        <f t="shared" si="135"/>
        <v>-7001.5822083438979</v>
      </c>
      <c r="AW124" s="5">
        <f t="shared" si="136"/>
        <v>2957128.8837116463</v>
      </c>
      <c r="AX124" s="199"/>
    </row>
    <row r="125" spans="1:50">
      <c r="A125" s="73"/>
      <c r="B125" s="572"/>
      <c r="C125" s="16">
        <f t="shared" si="168"/>
        <v>9</v>
      </c>
      <c r="D125" s="17">
        <f t="shared" si="164"/>
        <v>12</v>
      </c>
      <c r="E125" s="18">
        <f t="shared" ca="1" si="137"/>
        <v>47665</v>
      </c>
      <c r="F125" s="10">
        <f>+VLOOKUP($C125,Dashboard!$S$4:$T$13,2,0)</f>
        <v>0.04</v>
      </c>
      <c r="G125" s="14">
        <f t="shared" si="119"/>
        <v>108</v>
      </c>
      <c r="H125" s="5">
        <f t="shared" si="120"/>
        <v>3056711.3054075632</v>
      </c>
      <c r="I125" s="5">
        <f t="shared" si="105"/>
        <v>-17903.073579954722</v>
      </c>
      <c r="J125" s="5">
        <f t="shared" si="106"/>
        <v>-10189.037684691877</v>
      </c>
      <c r="K125" s="5">
        <f t="shared" si="121"/>
        <v>-7714.0358952628449</v>
      </c>
      <c r="L125" s="5">
        <f t="shared" si="122"/>
        <v>3048997.2695123004</v>
      </c>
      <c r="M125" s="199"/>
      <c r="N125" s="16">
        <f t="shared" ca="1" si="123"/>
        <v>0</v>
      </c>
      <c r="O125" s="508">
        <f t="shared" ca="1" si="107"/>
        <v>0</v>
      </c>
      <c r="P125" s="16">
        <f t="shared" ca="1" si="108"/>
        <v>0</v>
      </c>
      <c r="Q125" s="17">
        <f t="shared" si="165"/>
        <v>12</v>
      </c>
      <c r="R125" s="18">
        <f t="shared" si="138"/>
        <v>43070</v>
      </c>
      <c r="S125" s="10">
        <f t="shared" si="124"/>
        <v>0.04</v>
      </c>
      <c r="T125" s="14" t="str">
        <f t="shared" ca="1" si="125"/>
        <v>I/O</v>
      </c>
      <c r="U125" s="5">
        <f t="shared" ca="1" si="126"/>
        <v>500000</v>
      </c>
      <c r="V125" s="5">
        <f t="shared" ca="1" si="109"/>
        <v>-1666.6666666666667</v>
      </c>
      <c r="W125" s="5">
        <f t="shared" ca="1" si="110"/>
        <v>-1666.6666666666667</v>
      </c>
      <c r="X125" s="5">
        <f t="shared" ca="1" si="127"/>
        <v>0</v>
      </c>
      <c r="Y125" s="5">
        <f t="shared" ca="1" si="128"/>
        <v>500000</v>
      </c>
      <c r="Z125" s="199"/>
      <c r="AA125" s="16">
        <f t="shared" ca="1" si="116"/>
        <v>9</v>
      </c>
      <c r="AB125" s="508">
        <f t="shared" ca="1" si="111"/>
        <v>107</v>
      </c>
      <c r="AC125" s="16">
        <f t="shared" si="169"/>
        <v>9</v>
      </c>
      <c r="AD125" s="17">
        <f t="shared" si="166"/>
        <v>12</v>
      </c>
      <c r="AE125" s="18">
        <f t="shared" ca="1" si="139"/>
        <v>47665</v>
      </c>
      <c r="AF125" s="10">
        <f>IF(Dashboard!$R$24="Float",AF124+Dashboard!$R$24/12,AF124)</f>
        <v>0.06</v>
      </c>
      <c r="AG125" s="14">
        <f t="shared" si="129"/>
        <v>108</v>
      </c>
      <c r="AH125" s="5">
        <f t="shared" si="130"/>
        <v>0</v>
      </c>
      <c r="AI125" s="5">
        <f t="shared" si="113"/>
        <v>0</v>
      </c>
      <c r="AJ125" s="5">
        <f t="shared" si="114"/>
        <v>0</v>
      </c>
      <c r="AK125" s="5">
        <f t="shared" si="131"/>
        <v>0</v>
      </c>
      <c r="AL125" s="5">
        <f t="shared" si="132"/>
        <v>0</v>
      </c>
      <c r="AM125" s="199"/>
      <c r="AN125" s="16">
        <f t="shared" si="170"/>
        <v>10</v>
      </c>
      <c r="AO125" s="17">
        <f t="shared" si="167"/>
        <v>12</v>
      </c>
      <c r="AP125" s="18">
        <f t="shared" ca="1" si="140"/>
        <v>47665</v>
      </c>
      <c r="AQ125" s="10">
        <f>IF(Dashboard!$S$20="Float",AQ124+Dashboard!$T$20/12,AQ124)</f>
        <v>4.4999999999999998E-2</v>
      </c>
      <c r="AR125" s="14">
        <f t="shared" si="133"/>
        <v>108</v>
      </c>
      <c r="AS125" s="5">
        <f t="shared" si="134"/>
        <v>2957128.8837116463</v>
      </c>
      <c r="AT125" s="5">
        <f t="shared" si="117"/>
        <v>-18117.071455543861</v>
      </c>
      <c r="AU125" s="5">
        <f t="shared" si="118"/>
        <v>-11089.233313918674</v>
      </c>
      <c r="AV125" s="5">
        <f t="shared" si="135"/>
        <v>-7027.8381416251868</v>
      </c>
      <c r="AW125" s="5">
        <f t="shared" si="136"/>
        <v>2950101.045570021</v>
      </c>
      <c r="AX125" s="199"/>
    </row>
    <row r="126" spans="1:50" ht="12.75" customHeight="1">
      <c r="A126" s="73"/>
      <c r="B126" s="570">
        <f>+C126</f>
        <v>10</v>
      </c>
      <c r="C126" s="200">
        <f t="shared" ref="C126" si="171">+C125+1</f>
        <v>10</v>
      </c>
      <c r="D126" s="201">
        <v>1</v>
      </c>
      <c r="E126" s="202">
        <f t="shared" ca="1" si="137"/>
        <v>47696</v>
      </c>
      <c r="F126" s="203">
        <f>+VLOOKUP($C126,Dashboard!$S$4:$T$13,2,0)</f>
        <v>0.04</v>
      </c>
      <c r="G126" s="204">
        <f t="shared" si="119"/>
        <v>109</v>
      </c>
      <c r="H126" s="205">
        <f t="shared" si="120"/>
        <v>3048997.2695123004</v>
      </c>
      <c r="I126" s="205">
        <f t="shared" si="105"/>
        <v>-17903.073579954722</v>
      </c>
      <c r="J126" s="205">
        <f t="shared" si="106"/>
        <v>-10163.324231707667</v>
      </c>
      <c r="K126" s="205">
        <f t="shared" si="121"/>
        <v>-7739.7493482470545</v>
      </c>
      <c r="L126" s="205">
        <f t="shared" si="122"/>
        <v>3041257.5201640534</v>
      </c>
      <c r="M126" s="199"/>
      <c r="N126" s="200">
        <f t="shared" ca="1" si="123"/>
        <v>0</v>
      </c>
      <c r="O126" s="509">
        <f t="shared" ca="1" si="107"/>
        <v>0</v>
      </c>
      <c r="P126" s="200">
        <f t="shared" ca="1" si="108"/>
        <v>0</v>
      </c>
      <c r="Q126" s="201">
        <v>1</v>
      </c>
      <c r="R126" s="202">
        <f t="shared" si="138"/>
        <v>43101</v>
      </c>
      <c r="S126" s="203">
        <f t="shared" si="124"/>
        <v>0.04</v>
      </c>
      <c r="T126" s="204" t="str">
        <f t="shared" ca="1" si="125"/>
        <v>I/O</v>
      </c>
      <c r="U126" s="205">
        <f t="shared" ca="1" si="126"/>
        <v>500000</v>
      </c>
      <c r="V126" s="205">
        <f t="shared" ca="1" si="109"/>
        <v>-1666.6666666666667</v>
      </c>
      <c r="W126" s="205">
        <f t="shared" ca="1" si="110"/>
        <v>-1666.6666666666667</v>
      </c>
      <c r="X126" s="205">
        <f t="shared" ca="1" si="127"/>
        <v>0</v>
      </c>
      <c r="Y126" s="205">
        <f t="shared" ca="1" si="128"/>
        <v>500000</v>
      </c>
      <c r="Z126" s="199"/>
      <c r="AA126" s="200">
        <f t="shared" ca="1" si="116"/>
        <v>9</v>
      </c>
      <c r="AB126" s="509">
        <f t="shared" ca="1" si="111"/>
        <v>108</v>
      </c>
      <c r="AC126" s="200">
        <f t="shared" ref="AC126" si="172">+AC125+1</f>
        <v>10</v>
      </c>
      <c r="AD126" s="201">
        <v>1</v>
      </c>
      <c r="AE126" s="202">
        <f t="shared" ca="1" si="139"/>
        <v>47696</v>
      </c>
      <c r="AF126" s="203">
        <f>IF(Dashboard!$R$24="Float",AF125+Dashboard!$R$24/12,AF125)</f>
        <v>0.06</v>
      </c>
      <c r="AG126" s="204">
        <f t="shared" si="129"/>
        <v>109</v>
      </c>
      <c r="AH126" s="205">
        <f t="shared" si="130"/>
        <v>0</v>
      </c>
      <c r="AI126" s="205">
        <f t="shared" si="113"/>
        <v>0</v>
      </c>
      <c r="AJ126" s="205">
        <f t="shared" si="114"/>
        <v>0</v>
      </c>
      <c r="AK126" s="205">
        <f t="shared" si="131"/>
        <v>0</v>
      </c>
      <c r="AL126" s="205">
        <f t="shared" si="132"/>
        <v>0</v>
      </c>
      <c r="AM126" s="199"/>
      <c r="AN126" s="200">
        <f t="shared" ref="AN126" si="173">+AN125+1</f>
        <v>11</v>
      </c>
      <c r="AO126" s="201">
        <v>1</v>
      </c>
      <c r="AP126" s="202">
        <f t="shared" ca="1" si="140"/>
        <v>47696</v>
      </c>
      <c r="AQ126" s="203">
        <f>IF(Dashboard!$S$20="Float",AQ125+Dashboard!$T$20/12,AQ125)</f>
        <v>4.4999999999999998E-2</v>
      </c>
      <c r="AR126" s="204">
        <f t="shared" si="133"/>
        <v>109</v>
      </c>
      <c r="AS126" s="205">
        <f t="shared" si="134"/>
        <v>2950101.045570021</v>
      </c>
      <c r="AT126" s="205">
        <f t="shared" si="117"/>
        <v>-18117.071455543861</v>
      </c>
      <c r="AU126" s="205">
        <f t="shared" si="118"/>
        <v>-11062.878920887577</v>
      </c>
      <c r="AV126" s="205">
        <f t="shared" si="135"/>
        <v>-7054.1925346562839</v>
      </c>
      <c r="AW126" s="205">
        <f t="shared" si="136"/>
        <v>2943046.8530353648</v>
      </c>
      <c r="AX126" s="199"/>
    </row>
    <row r="127" spans="1:50">
      <c r="A127" s="73"/>
      <c r="B127" s="570"/>
      <c r="C127" s="200">
        <f>+C126</f>
        <v>10</v>
      </c>
      <c r="D127" s="201">
        <f>+D126+1</f>
        <v>2</v>
      </c>
      <c r="E127" s="202">
        <f t="shared" ca="1" si="137"/>
        <v>47727</v>
      </c>
      <c r="F127" s="203">
        <f>+VLOOKUP($C127,Dashboard!$S$4:$T$13,2,0)</f>
        <v>0.04</v>
      </c>
      <c r="G127" s="204">
        <f t="shared" si="119"/>
        <v>110</v>
      </c>
      <c r="H127" s="205">
        <f t="shared" si="120"/>
        <v>3041257.5201640534</v>
      </c>
      <c r="I127" s="205">
        <f t="shared" si="105"/>
        <v>-17903.073579954726</v>
      </c>
      <c r="J127" s="205">
        <f t="shared" si="106"/>
        <v>-10137.525067213512</v>
      </c>
      <c r="K127" s="205">
        <f t="shared" si="121"/>
        <v>-7765.5485127412139</v>
      </c>
      <c r="L127" s="205">
        <f t="shared" si="122"/>
        <v>3033491.9716513124</v>
      </c>
      <c r="M127" s="199"/>
      <c r="N127" s="200">
        <f t="shared" ca="1" si="123"/>
        <v>0</v>
      </c>
      <c r="O127" s="509">
        <f t="shared" ca="1" si="107"/>
        <v>0</v>
      </c>
      <c r="P127" s="200">
        <f t="shared" ca="1" si="108"/>
        <v>0</v>
      </c>
      <c r="Q127" s="201">
        <f>+Q126+1</f>
        <v>2</v>
      </c>
      <c r="R127" s="202">
        <f t="shared" si="138"/>
        <v>43132</v>
      </c>
      <c r="S127" s="203">
        <f t="shared" si="124"/>
        <v>0.04</v>
      </c>
      <c r="T127" s="204" t="str">
        <f t="shared" ca="1" si="125"/>
        <v>I/O</v>
      </c>
      <c r="U127" s="205">
        <f t="shared" ca="1" si="126"/>
        <v>500000</v>
      </c>
      <c r="V127" s="205">
        <f t="shared" ca="1" si="109"/>
        <v>-1666.6666666666667</v>
      </c>
      <c r="W127" s="205">
        <f t="shared" ca="1" si="110"/>
        <v>-1666.6666666666667</v>
      </c>
      <c r="X127" s="205">
        <f t="shared" ca="1" si="127"/>
        <v>0</v>
      </c>
      <c r="Y127" s="205">
        <f t="shared" ca="1" si="128"/>
        <v>500000</v>
      </c>
      <c r="Z127" s="199"/>
      <c r="AA127" s="200">
        <f t="shared" ca="1" si="116"/>
        <v>10</v>
      </c>
      <c r="AB127" s="509">
        <f t="shared" ca="1" si="111"/>
        <v>109</v>
      </c>
      <c r="AC127" s="200">
        <f>+AC126</f>
        <v>10</v>
      </c>
      <c r="AD127" s="201">
        <f>+AD126+1</f>
        <v>2</v>
      </c>
      <c r="AE127" s="202">
        <f t="shared" ca="1" si="139"/>
        <v>47727</v>
      </c>
      <c r="AF127" s="203">
        <f>IF(Dashboard!$R$24="Float",AF126+Dashboard!$R$24/12,AF126)</f>
        <v>0.06</v>
      </c>
      <c r="AG127" s="204">
        <f t="shared" si="129"/>
        <v>110</v>
      </c>
      <c r="AH127" s="205">
        <f t="shared" si="130"/>
        <v>0</v>
      </c>
      <c r="AI127" s="205">
        <f t="shared" si="113"/>
        <v>0</v>
      </c>
      <c r="AJ127" s="205">
        <f t="shared" si="114"/>
        <v>0</v>
      </c>
      <c r="AK127" s="205">
        <f t="shared" si="131"/>
        <v>0</v>
      </c>
      <c r="AL127" s="205">
        <f t="shared" si="132"/>
        <v>0</v>
      </c>
      <c r="AM127" s="199"/>
      <c r="AN127" s="200">
        <f>+AN126</f>
        <v>11</v>
      </c>
      <c r="AO127" s="201">
        <f>+AO126+1</f>
        <v>2</v>
      </c>
      <c r="AP127" s="202">
        <f t="shared" ca="1" si="140"/>
        <v>47727</v>
      </c>
      <c r="AQ127" s="203">
        <f>IF(Dashboard!$S$20="Float",AQ126+Dashboard!$T$20/12,AQ126)</f>
        <v>4.4999999999999998E-2</v>
      </c>
      <c r="AR127" s="204">
        <f t="shared" si="133"/>
        <v>110</v>
      </c>
      <c r="AS127" s="205">
        <f t="shared" si="134"/>
        <v>2943046.8530353648</v>
      </c>
      <c r="AT127" s="205">
        <f t="shared" si="117"/>
        <v>-18117.071455543857</v>
      </c>
      <c r="AU127" s="205">
        <f t="shared" si="118"/>
        <v>-11036.425698882616</v>
      </c>
      <c r="AV127" s="205">
        <f t="shared" si="135"/>
        <v>-7080.6457566612407</v>
      </c>
      <c r="AW127" s="205">
        <f t="shared" si="136"/>
        <v>2935966.2072787033</v>
      </c>
      <c r="AX127" s="199"/>
    </row>
    <row r="128" spans="1:50">
      <c r="A128" s="73"/>
      <c r="B128" s="570"/>
      <c r="C128" s="200">
        <f>+C127</f>
        <v>10</v>
      </c>
      <c r="D128" s="201">
        <f>+D127+1</f>
        <v>3</v>
      </c>
      <c r="E128" s="202">
        <f t="shared" ca="1" si="137"/>
        <v>47757</v>
      </c>
      <c r="F128" s="203">
        <f>+VLOOKUP($C128,Dashboard!$S$4:$T$13,2,0)</f>
        <v>0.04</v>
      </c>
      <c r="G128" s="204">
        <f t="shared" si="119"/>
        <v>111</v>
      </c>
      <c r="H128" s="205">
        <f t="shared" si="120"/>
        <v>3033491.9716513124</v>
      </c>
      <c r="I128" s="205">
        <f t="shared" si="105"/>
        <v>-17903.073579954722</v>
      </c>
      <c r="J128" s="205">
        <f t="shared" si="106"/>
        <v>-10111.639905504375</v>
      </c>
      <c r="K128" s="205">
        <f t="shared" si="121"/>
        <v>-7791.4336744503471</v>
      </c>
      <c r="L128" s="205">
        <f t="shared" si="122"/>
        <v>3025700.5379768619</v>
      </c>
      <c r="M128" s="199"/>
      <c r="N128" s="200">
        <f t="shared" ca="1" si="123"/>
        <v>0</v>
      </c>
      <c r="O128" s="509">
        <f t="shared" ca="1" si="107"/>
        <v>0</v>
      </c>
      <c r="P128" s="200">
        <f t="shared" ca="1" si="108"/>
        <v>0</v>
      </c>
      <c r="Q128" s="201">
        <f>+Q127+1</f>
        <v>3</v>
      </c>
      <c r="R128" s="202">
        <f t="shared" si="138"/>
        <v>43160</v>
      </c>
      <c r="S128" s="203">
        <f t="shared" si="124"/>
        <v>0.04</v>
      </c>
      <c r="T128" s="204" t="str">
        <f t="shared" ca="1" si="125"/>
        <v>I/O</v>
      </c>
      <c r="U128" s="205">
        <f t="shared" ca="1" si="126"/>
        <v>500000</v>
      </c>
      <c r="V128" s="205">
        <f t="shared" ca="1" si="109"/>
        <v>-1666.6666666666667</v>
      </c>
      <c r="W128" s="205">
        <f t="shared" ca="1" si="110"/>
        <v>-1666.6666666666667</v>
      </c>
      <c r="X128" s="205">
        <f t="shared" ca="1" si="127"/>
        <v>0</v>
      </c>
      <c r="Y128" s="205">
        <f t="shared" ca="1" si="128"/>
        <v>500000</v>
      </c>
      <c r="Z128" s="199"/>
      <c r="AA128" s="200">
        <f t="shared" ca="1" si="116"/>
        <v>10</v>
      </c>
      <c r="AB128" s="509">
        <f t="shared" ca="1" si="111"/>
        <v>110</v>
      </c>
      <c r="AC128" s="200">
        <f>+AC127</f>
        <v>10</v>
      </c>
      <c r="AD128" s="201">
        <f>+AD127+1</f>
        <v>3</v>
      </c>
      <c r="AE128" s="202">
        <f t="shared" ca="1" si="139"/>
        <v>47757</v>
      </c>
      <c r="AF128" s="203">
        <f>IF(Dashboard!$R$24="Float",AF127+Dashboard!$R$24/12,AF127)</f>
        <v>0.06</v>
      </c>
      <c r="AG128" s="204">
        <f t="shared" si="129"/>
        <v>111</v>
      </c>
      <c r="AH128" s="205">
        <f t="shared" si="130"/>
        <v>0</v>
      </c>
      <c r="AI128" s="205">
        <f t="shared" si="113"/>
        <v>0</v>
      </c>
      <c r="AJ128" s="205">
        <f t="shared" si="114"/>
        <v>0</v>
      </c>
      <c r="AK128" s="205">
        <f t="shared" si="131"/>
        <v>0</v>
      </c>
      <c r="AL128" s="205">
        <f t="shared" si="132"/>
        <v>0</v>
      </c>
      <c r="AM128" s="199"/>
      <c r="AN128" s="200">
        <f>+AN127</f>
        <v>11</v>
      </c>
      <c r="AO128" s="201">
        <f>+AO127+1</f>
        <v>3</v>
      </c>
      <c r="AP128" s="202">
        <f t="shared" ca="1" si="140"/>
        <v>47757</v>
      </c>
      <c r="AQ128" s="203">
        <f>IF(Dashboard!$S$20="Float",AQ127+Dashboard!$T$20/12,AQ127)</f>
        <v>4.4999999999999998E-2</v>
      </c>
      <c r="AR128" s="204">
        <f t="shared" si="133"/>
        <v>111</v>
      </c>
      <c r="AS128" s="205">
        <f t="shared" si="134"/>
        <v>2935966.2072787033</v>
      </c>
      <c r="AT128" s="205">
        <f t="shared" si="117"/>
        <v>-18117.071455543857</v>
      </c>
      <c r="AU128" s="205">
        <f t="shared" si="118"/>
        <v>-11009.873277295139</v>
      </c>
      <c r="AV128" s="205">
        <f t="shared" si="135"/>
        <v>-7107.1981782487182</v>
      </c>
      <c r="AW128" s="205">
        <f t="shared" si="136"/>
        <v>2928859.0091004544</v>
      </c>
      <c r="AX128" s="199"/>
    </row>
    <row r="129" spans="1:50">
      <c r="A129" s="73"/>
      <c r="B129" s="570"/>
      <c r="C129" s="200">
        <f>+C128</f>
        <v>10</v>
      </c>
      <c r="D129" s="201">
        <f t="shared" ref="D129:D137" si="174">+D128+1</f>
        <v>4</v>
      </c>
      <c r="E129" s="202">
        <f t="shared" ca="1" si="137"/>
        <v>47788</v>
      </c>
      <c r="F129" s="203">
        <f>+VLOOKUP($C129,Dashboard!$S$4:$T$13,2,0)</f>
        <v>0.04</v>
      </c>
      <c r="G129" s="204">
        <f t="shared" si="119"/>
        <v>112</v>
      </c>
      <c r="H129" s="205">
        <f t="shared" si="120"/>
        <v>3025700.5379768619</v>
      </c>
      <c r="I129" s="205">
        <f t="shared" si="105"/>
        <v>-17903.073579954726</v>
      </c>
      <c r="J129" s="205">
        <f t="shared" si="106"/>
        <v>-10085.668459922874</v>
      </c>
      <c r="K129" s="205">
        <f t="shared" si="121"/>
        <v>-7817.4051200318518</v>
      </c>
      <c r="L129" s="205">
        <f t="shared" si="122"/>
        <v>3017883.13285683</v>
      </c>
      <c r="M129" s="199"/>
      <c r="N129" s="200">
        <f t="shared" ca="1" si="123"/>
        <v>0</v>
      </c>
      <c r="O129" s="509">
        <f t="shared" ca="1" si="107"/>
        <v>0</v>
      </c>
      <c r="P129" s="200">
        <f t="shared" ca="1" si="108"/>
        <v>0</v>
      </c>
      <c r="Q129" s="201">
        <f t="shared" ref="Q129:Q137" si="175">+Q128+1</f>
        <v>4</v>
      </c>
      <c r="R129" s="202">
        <f t="shared" si="138"/>
        <v>43191</v>
      </c>
      <c r="S129" s="203">
        <f t="shared" si="124"/>
        <v>0.04</v>
      </c>
      <c r="T129" s="204" t="str">
        <f t="shared" ca="1" si="125"/>
        <v>I/O</v>
      </c>
      <c r="U129" s="205">
        <f t="shared" ca="1" si="126"/>
        <v>500000</v>
      </c>
      <c r="V129" s="205">
        <f t="shared" ca="1" si="109"/>
        <v>-1666.6666666666667</v>
      </c>
      <c r="W129" s="205">
        <f t="shared" ca="1" si="110"/>
        <v>-1666.6666666666667</v>
      </c>
      <c r="X129" s="205">
        <f t="shared" ca="1" si="127"/>
        <v>0</v>
      </c>
      <c r="Y129" s="205">
        <f t="shared" ca="1" si="128"/>
        <v>500000</v>
      </c>
      <c r="Z129" s="199"/>
      <c r="AA129" s="200">
        <f t="shared" ca="1" si="116"/>
        <v>10</v>
      </c>
      <c r="AB129" s="509">
        <f t="shared" ca="1" si="111"/>
        <v>111</v>
      </c>
      <c r="AC129" s="200">
        <f>+AC128</f>
        <v>10</v>
      </c>
      <c r="AD129" s="201">
        <f t="shared" ref="AD129:AD137" si="176">+AD128+1</f>
        <v>4</v>
      </c>
      <c r="AE129" s="202">
        <f t="shared" ca="1" si="139"/>
        <v>47788</v>
      </c>
      <c r="AF129" s="203">
        <f>IF(Dashboard!$R$24="Float",AF128+Dashboard!$R$24/12,AF128)</f>
        <v>0.06</v>
      </c>
      <c r="AG129" s="204">
        <f t="shared" si="129"/>
        <v>112</v>
      </c>
      <c r="AH129" s="205">
        <f t="shared" si="130"/>
        <v>0</v>
      </c>
      <c r="AI129" s="205">
        <f t="shared" si="113"/>
        <v>0</v>
      </c>
      <c r="AJ129" s="205">
        <f t="shared" si="114"/>
        <v>0</v>
      </c>
      <c r="AK129" s="205">
        <f t="shared" si="131"/>
        <v>0</v>
      </c>
      <c r="AL129" s="205">
        <f t="shared" si="132"/>
        <v>0</v>
      </c>
      <c r="AM129" s="199"/>
      <c r="AN129" s="200">
        <f>+AN128</f>
        <v>11</v>
      </c>
      <c r="AO129" s="201">
        <f t="shared" ref="AO129:AO137" si="177">+AO128+1</f>
        <v>4</v>
      </c>
      <c r="AP129" s="202">
        <f t="shared" ca="1" si="140"/>
        <v>47788</v>
      </c>
      <c r="AQ129" s="203">
        <f>IF(Dashboard!$S$20="Float",AQ128+Dashboard!$T$20/12,AQ128)</f>
        <v>4.4999999999999998E-2</v>
      </c>
      <c r="AR129" s="204">
        <f t="shared" si="133"/>
        <v>112</v>
      </c>
      <c r="AS129" s="205">
        <f t="shared" si="134"/>
        <v>2928859.0091004544</v>
      </c>
      <c r="AT129" s="205">
        <f t="shared" si="117"/>
        <v>-18117.071455543857</v>
      </c>
      <c r="AU129" s="205">
        <f t="shared" si="118"/>
        <v>-10983.221284126703</v>
      </c>
      <c r="AV129" s="205">
        <f t="shared" si="135"/>
        <v>-7133.8501714171543</v>
      </c>
      <c r="AW129" s="205">
        <f t="shared" si="136"/>
        <v>2921725.1589290374</v>
      </c>
      <c r="AX129" s="199"/>
    </row>
    <row r="130" spans="1:50">
      <c r="A130" s="73"/>
      <c r="B130" s="570"/>
      <c r="C130" s="200">
        <f t="shared" ref="C130:C137" si="178">+C129</f>
        <v>10</v>
      </c>
      <c r="D130" s="201">
        <f t="shared" si="174"/>
        <v>5</v>
      </c>
      <c r="E130" s="202">
        <f t="shared" ca="1" si="137"/>
        <v>47818</v>
      </c>
      <c r="F130" s="203">
        <f>+VLOOKUP($C130,Dashboard!$S$4:$T$13,2,0)</f>
        <v>0.04</v>
      </c>
      <c r="G130" s="204">
        <f t="shared" si="119"/>
        <v>113</v>
      </c>
      <c r="H130" s="205">
        <f t="shared" si="120"/>
        <v>3017883.13285683</v>
      </c>
      <c r="I130" s="205">
        <f t="shared" si="105"/>
        <v>-17903.073579954722</v>
      </c>
      <c r="J130" s="205">
        <f t="shared" si="106"/>
        <v>-10059.610442856099</v>
      </c>
      <c r="K130" s="205">
        <f t="shared" si="121"/>
        <v>-7843.4631370986226</v>
      </c>
      <c r="L130" s="205">
        <f t="shared" si="122"/>
        <v>3010039.6697197314</v>
      </c>
      <c r="M130" s="199"/>
      <c r="N130" s="200">
        <f t="shared" ca="1" si="123"/>
        <v>0</v>
      </c>
      <c r="O130" s="509">
        <f t="shared" ca="1" si="107"/>
        <v>0</v>
      </c>
      <c r="P130" s="200">
        <f t="shared" ca="1" si="108"/>
        <v>0</v>
      </c>
      <c r="Q130" s="201">
        <f t="shared" si="175"/>
        <v>5</v>
      </c>
      <c r="R130" s="202">
        <f t="shared" si="138"/>
        <v>43221</v>
      </c>
      <c r="S130" s="203">
        <f t="shared" si="124"/>
        <v>0.04</v>
      </c>
      <c r="T130" s="204" t="str">
        <f t="shared" ca="1" si="125"/>
        <v>I/O</v>
      </c>
      <c r="U130" s="205">
        <f t="shared" ca="1" si="126"/>
        <v>500000</v>
      </c>
      <c r="V130" s="205">
        <f t="shared" ca="1" si="109"/>
        <v>-1666.6666666666667</v>
      </c>
      <c r="W130" s="205">
        <f t="shared" ca="1" si="110"/>
        <v>-1666.6666666666667</v>
      </c>
      <c r="X130" s="205">
        <f t="shared" ca="1" si="127"/>
        <v>0</v>
      </c>
      <c r="Y130" s="205">
        <f t="shared" ca="1" si="128"/>
        <v>500000</v>
      </c>
      <c r="Z130" s="199"/>
      <c r="AA130" s="200">
        <f t="shared" ca="1" si="116"/>
        <v>10</v>
      </c>
      <c r="AB130" s="509">
        <f t="shared" ca="1" si="111"/>
        <v>112</v>
      </c>
      <c r="AC130" s="200">
        <f t="shared" ref="AC130:AC137" si="179">+AC129</f>
        <v>10</v>
      </c>
      <c r="AD130" s="201">
        <f t="shared" si="176"/>
        <v>5</v>
      </c>
      <c r="AE130" s="202">
        <f t="shared" ca="1" si="139"/>
        <v>47818</v>
      </c>
      <c r="AF130" s="203">
        <f>IF(Dashboard!$R$24="Float",AF129+Dashboard!$R$24/12,AF129)</f>
        <v>0.06</v>
      </c>
      <c r="AG130" s="204">
        <f t="shared" si="129"/>
        <v>113</v>
      </c>
      <c r="AH130" s="205">
        <f t="shared" si="130"/>
        <v>0</v>
      </c>
      <c r="AI130" s="205">
        <f t="shared" si="113"/>
        <v>0</v>
      </c>
      <c r="AJ130" s="205">
        <f t="shared" si="114"/>
        <v>0</v>
      </c>
      <c r="AK130" s="205">
        <f t="shared" si="131"/>
        <v>0</v>
      </c>
      <c r="AL130" s="205">
        <f t="shared" si="132"/>
        <v>0</v>
      </c>
      <c r="AM130" s="199"/>
      <c r="AN130" s="200">
        <f t="shared" ref="AN130:AN137" si="180">+AN129</f>
        <v>11</v>
      </c>
      <c r="AO130" s="201">
        <f t="shared" si="177"/>
        <v>5</v>
      </c>
      <c r="AP130" s="202">
        <f t="shared" ca="1" si="140"/>
        <v>47818</v>
      </c>
      <c r="AQ130" s="203">
        <f>IF(Dashboard!$S$20="Float",AQ129+Dashboard!$T$20/12,AQ129)</f>
        <v>4.4999999999999998E-2</v>
      </c>
      <c r="AR130" s="204">
        <f t="shared" si="133"/>
        <v>113</v>
      </c>
      <c r="AS130" s="205">
        <f t="shared" si="134"/>
        <v>2921725.1589290374</v>
      </c>
      <c r="AT130" s="205">
        <f t="shared" si="117"/>
        <v>-18117.071455543857</v>
      </c>
      <c r="AU130" s="205">
        <f t="shared" si="118"/>
        <v>-10956.469345983889</v>
      </c>
      <c r="AV130" s="205">
        <f t="shared" si="135"/>
        <v>-7160.6021095599681</v>
      </c>
      <c r="AW130" s="205">
        <f t="shared" si="136"/>
        <v>2914564.5568194776</v>
      </c>
      <c r="AX130" s="199"/>
    </row>
    <row r="131" spans="1:50">
      <c r="A131" s="73"/>
      <c r="B131" s="570"/>
      <c r="C131" s="200">
        <f t="shared" si="178"/>
        <v>10</v>
      </c>
      <c r="D131" s="201">
        <f t="shared" si="174"/>
        <v>6</v>
      </c>
      <c r="E131" s="202">
        <f t="shared" ca="1" si="137"/>
        <v>47849</v>
      </c>
      <c r="F131" s="203">
        <f>+VLOOKUP($C131,Dashboard!$S$4:$T$13,2,0)</f>
        <v>0.04</v>
      </c>
      <c r="G131" s="204">
        <f t="shared" si="119"/>
        <v>114</v>
      </c>
      <c r="H131" s="205">
        <f t="shared" si="120"/>
        <v>3010039.6697197314</v>
      </c>
      <c r="I131" s="205">
        <f t="shared" si="105"/>
        <v>-17903.073579954722</v>
      </c>
      <c r="J131" s="205">
        <f t="shared" si="106"/>
        <v>-10033.465565732438</v>
      </c>
      <c r="K131" s="205">
        <f t="shared" si="121"/>
        <v>-7869.6080142222836</v>
      </c>
      <c r="L131" s="205">
        <f t="shared" si="122"/>
        <v>3002170.0617055092</v>
      </c>
      <c r="M131" s="199"/>
      <c r="N131" s="200">
        <f t="shared" ca="1" si="123"/>
        <v>0</v>
      </c>
      <c r="O131" s="509">
        <f t="shared" ca="1" si="107"/>
        <v>0</v>
      </c>
      <c r="P131" s="200">
        <f t="shared" ca="1" si="108"/>
        <v>0</v>
      </c>
      <c r="Q131" s="201">
        <f t="shared" si="175"/>
        <v>6</v>
      </c>
      <c r="R131" s="202">
        <f t="shared" si="138"/>
        <v>43252</v>
      </c>
      <c r="S131" s="203">
        <f t="shared" si="124"/>
        <v>0.04</v>
      </c>
      <c r="T131" s="204" t="str">
        <f t="shared" ca="1" si="125"/>
        <v>I/O</v>
      </c>
      <c r="U131" s="205">
        <f t="shared" ca="1" si="126"/>
        <v>500000</v>
      </c>
      <c r="V131" s="205">
        <f t="shared" ca="1" si="109"/>
        <v>-1666.6666666666667</v>
      </c>
      <c r="W131" s="205">
        <f t="shared" ca="1" si="110"/>
        <v>-1666.6666666666667</v>
      </c>
      <c r="X131" s="205">
        <f t="shared" ca="1" si="127"/>
        <v>0</v>
      </c>
      <c r="Y131" s="205">
        <f t="shared" ca="1" si="128"/>
        <v>500000</v>
      </c>
      <c r="Z131" s="199"/>
      <c r="AA131" s="200">
        <f t="shared" ca="1" si="116"/>
        <v>10</v>
      </c>
      <c r="AB131" s="509">
        <f t="shared" ca="1" si="111"/>
        <v>113</v>
      </c>
      <c r="AC131" s="200">
        <f t="shared" si="179"/>
        <v>10</v>
      </c>
      <c r="AD131" s="201">
        <f t="shared" si="176"/>
        <v>6</v>
      </c>
      <c r="AE131" s="202">
        <f t="shared" ca="1" si="139"/>
        <v>47849</v>
      </c>
      <c r="AF131" s="203">
        <f>IF(Dashboard!$R$24="Float",AF130+Dashboard!$R$24/12,AF130)</f>
        <v>0.06</v>
      </c>
      <c r="AG131" s="204">
        <f t="shared" si="129"/>
        <v>114</v>
      </c>
      <c r="AH131" s="205">
        <f t="shared" si="130"/>
        <v>0</v>
      </c>
      <c r="AI131" s="205">
        <f t="shared" si="113"/>
        <v>0</v>
      </c>
      <c r="AJ131" s="205">
        <f t="shared" si="114"/>
        <v>0</v>
      </c>
      <c r="AK131" s="205">
        <f t="shared" si="131"/>
        <v>0</v>
      </c>
      <c r="AL131" s="205">
        <f t="shared" si="132"/>
        <v>0</v>
      </c>
      <c r="AM131" s="199"/>
      <c r="AN131" s="200">
        <f t="shared" si="180"/>
        <v>11</v>
      </c>
      <c r="AO131" s="201">
        <f t="shared" si="177"/>
        <v>6</v>
      </c>
      <c r="AP131" s="202">
        <f t="shared" ca="1" si="140"/>
        <v>47849</v>
      </c>
      <c r="AQ131" s="203">
        <f>IF(Dashboard!$S$20="Float",AQ130+Dashboard!$T$20/12,AQ130)</f>
        <v>4.4999999999999998E-2</v>
      </c>
      <c r="AR131" s="204">
        <f t="shared" si="133"/>
        <v>114</v>
      </c>
      <c r="AS131" s="205">
        <f t="shared" si="134"/>
        <v>2914564.5568194776</v>
      </c>
      <c r="AT131" s="205">
        <f t="shared" si="117"/>
        <v>-18117.071455543857</v>
      </c>
      <c r="AU131" s="205">
        <f t="shared" si="118"/>
        <v>-10929.617088073041</v>
      </c>
      <c r="AV131" s="205">
        <f t="shared" si="135"/>
        <v>-7187.4543674708166</v>
      </c>
      <c r="AW131" s="205">
        <f t="shared" si="136"/>
        <v>2907377.1024520067</v>
      </c>
      <c r="AX131" s="199"/>
    </row>
    <row r="132" spans="1:50">
      <c r="A132" s="73"/>
      <c r="B132" s="570"/>
      <c r="C132" s="200">
        <f t="shared" si="178"/>
        <v>10</v>
      </c>
      <c r="D132" s="201">
        <f t="shared" si="174"/>
        <v>7</v>
      </c>
      <c r="E132" s="202">
        <f t="shared" ca="1" si="137"/>
        <v>47880</v>
      </c>
      <c r="F132" s="203">
        <f>+VLOOKUP($C132,Dashboard!$S$4:$T$13,2,0)</f>
        <v>0.04</v>
      </c>
      <c r="G132" s="204">
        <f t="shared" si="119"/>
        <v>115</v>
      </c>
      <c r="H132" s="205">
        <f t="shared" si="120"/>
        <v>3002170.0617055092</v>
      </c>
      <c r="I132" s="205">
        <f t="shared" si="105"/>
        <v>-17903.073579954722</v>
      </c>
      <c r="J132" s="205">
        <f t="shared" si="106"/>
        <v>-10007.233539018363</v>
      </c>
      <c r="K132" s="205">
        <f t="shared" si="121"/>
        <v>-7895.8400409363585</v>
      </c>
      <c r="L132" s="205">
        <f t="shared" si="122"/>
        <v>2994274.2216645731</v>
      </c>
      <c r="M132" s="199"/>
      <c r="N132" s="200">
        <f t="shared" ca="1" si="123"/>
        <v>0</v>
      </c>
      <c r="O132" s="509">
        <f t="shared" ca="1" si="107"/>
        <v>0</v>
      </c>
      <c r="P132" s="200">
        <f t="shared" ca="1" si="108"/>
        <v>0</v>
      </c>
      <c r="Q132" s="201">
        <f t="shared" si="175"/>
        <v>7</v>
      </c>
      <c r="R132" s="202">
        <f t="shared" si="138"/>
        <v>43282</v>
      </c>
      <c r="S132" s="203">
        <f t="shared" si="124"/>
        <v>0.04</v>
      </c>
      <c r="T132" s="204" t="str">
        <f t="shared" ca="1" si="125"/>
        <v>I/O</v>
      </c>
      <c r="U132" s="205">
        <f t="shared" ca="1" si="126"/>
        <v>500000</v>
      </c>
      <c r="V132" s="205">
        <f t="shared" ca="1" si="109"/>
        <v>-1666.6666666666667</v>
      </c>
      <c r="W132" s="205">
        <f t="shared" ca="1" si="110"/>
        <v>-1666.6666666666667</v>
      </c>
      <c r="X132" s="205">
        <f t="shared" ca="1" si="127"/>
        <v>0</v>
      </c>
      <c r="Y132" s="205">
        <f t="shared" ca="1" si="128"/>
        <v>500000</v>
      </c>
      <c r="Z132" s="199"/>
      <c r="AA132" s="200">
        <f t="shared" ca="1" si="116"/>
        <v>10</v>
      </c>
      <c r="AB132" s="509">
        <f t="shared" ca="1" si="111"/>
        <v>114</v>
      </c>
      <c r="AC132" s="200">
        <f t="shared" si="179"/>
        <v>10</v>
      </c>
      <c r="AD132" s="201">
        <f t="shared" si="176"/>
        <v>7</v>
      </c>
      <c r="AE132" s="202">
        <f t="shared" ca="1" si="139"/>
        <v>47880</v>
      </c>
      <c r="AF132" s="203">
        <f>IF(Dashboard!$R$24="Float",AF131+Dashboard!$R$24/12,AF131)</f>
        <v>0.06</v>
      </c>
      <c r="AG132" s="204">
        <f t="shared" si="129"/>
        <v>115</v>
      </c>
      <c r="AH132" s="205">
        <f t="shared" si="130"/>
        <v>0</v>
      </c>
      <c r="AI132" s="205">
        <f t="shared" si="113"/>
        <v>0</v>
      </c>
      <c r="AJ132" s="205">
        <f t="shared" si="114"/>
        <v>0</v>
      </c>
      <c r="AK132" s="205">
        <f t="shared" si="131"/>
        <v>0</v>
      </c>
      <c r="AL132" s="205">
        <f t="shared" si="132"/>
        <v>0</v>
      </c>
      <c r="AM132" s="199"/>
      <c r="AN132" s="200">
        <f t="shared" si="180"/>
        <v>11</v>
      </c>
      <c r="AO132" s="201">
        <f t="shared" si="177"/>
        <v>7</v>
      </c>
      <c r="AP132" s="202">
        <f t="shared" ca="1" si="140"/>
        <v>47880</v>
      </c>
      <c r="AQ132" s="203">
        <f>IF(Dashboard!$S$20="Float",AQ131+Dashboard!$T$20/12,AQ131)</f>
        <v>4.4999999999999998E-2</v>
      </c>
      <c r="AR132" s="204">
        <f t="shared" si="133"/>
        <v>115</v>
      </c>
      <c r="AS132" s="205">
        <f t="shared" si="134"/>
        <v>2907377.1024520067</v>
      </c>
      <c r="AT132" s="205">
        <f t="shared" si="117"/>
        <v>-18117.071455543857</v>
      </c>
      <c r="AU132" s="205">
        <f t="shared" si="118"/>
        <v>-10902.664134195025</v>
      </c>
      <c r="AV132" s="205">
        <f t="shared" si="135"/>
        <v>-7214.4073213488318</v>
      </c>
      <c r="AW132" s="205">
        <f t="shared" si="136"/>
        <v>2900162.6951306579</v>
      </c>
      <c r="AX132" s="199"/>
    </row>
    <row r="133" spans="1:50">
      <c r="A133" s="73"/>
      <c r="B133" s="570"/>
      <c r="C133" s="200">
        <f t="shared" si="178"/>
        <v>10</v>
      </c>
      <c r="D133" s="201">
        <f t="shared" si="174"/>
        <v>8</v>
      </c>
      <c r="E133" s="202">
        <f t="shared" ca="1" si="137"/>
        <v>47908</v>
      </c>
      <c r="F133" s="203">
        <f>+VLOOKUP($C133,Dashboard!$S$4:$T$13,2,0)</f>
        <v>0.04</v>
      </c>
      <c r="G133" s="204">
        <f t="shared" si="119"/>
        <v>116</v>
      </c>
      <c r="H133" s="205">
        <f t="shared" si="120"/>
        <v>2994274.2216645731</v>
      </c>
      <c r="I133" s="205">
        <f t="shared" si="105"/>
        <v>-17903.073579954726</v>
      </c>
      <c r="J133" s="205">
        <f t="shared" si="106"/>
        <v>-9980.9140722152442</v>
      </c>
      <c r="K133" s="205">
        <f t="shared" si="121"/>
        <v>-7922.1595077394813</v>
      </c>
      <c r="L133" s="205">
        <f t="shared" si="122"/>
        <v>2986352.0621568337</v>
      </c>
      <c r="M133" s="199"/>
      <c r="N133" s="200">
        <f t="shared" ca="1" si="123"/>
        <v>0</v>
      </c>
      <c r="O133" s="509">
        <f t="shared" ca="1" si="107"/>
        <v>0</v>
      </c>
      <c r="P133" s="200">
        <f t="shared" ca="1" si="108"/>
        <v>0</v>
      </c>
      <c r="Q133" s="201">
        <f t="shared" si="175"/>
        <v>8</v>
      </c>
      <c r="R133" s="202">
        <f t="shared" si="138"/>
        <v>43313</v>
      </c>
      <c r="S133" s="203">
        <f t="shared" si="124"/>
        <v>0.04</v>
      </c>
      <c r="T133" s="204" t="str">
        <f t="shared" ca="1" si="125"/>
        <v>I/O</v>
      </c>
      <c r="U133" s="205">
        <f t="shared" ca="1" si="126"/>
        <v>500000</v>
      </c>
      <c r="V133" s="205">
        <f t="shared" ca="1" si="109"/>
        <v>-1666.6666666666667</v>
      </c>
      <c r="W133" s="205">
        <f t="shared" ca="1" si="110"/>
        <v>-1666.6666666666667</v>
      </c>
      <c r="X133" s="205">
        <f t="shared" ca="1" si="127"/>
        <v>0</v>
      </c>
      <c r="Y133" s="205">
        <f t="shared" ca="1" si="128"/>
        <v>500000</v>
      </c>
      <c r="Z133" s="199"/>
      <c r="AA133" s="200">
        <f t="shared" ca="1" si="116"/>
        <v>10</v>
      </c>
      <c r="AB133" s="509">
        <f t="shared" ca="1" si="111"/>
        <v>115</v>
      </c>
      <c r="AC133" s="200">
        <f t="shared" si="179"/>
        <v>10</v>
      </c>
      <c r="AD133" s="201">
        <f t="shared" si="176"/>
        <v>8</v>
      </c>
      <c r="AE133" s="202">
        <f t="shared" ca="1" si="139"/>
        <v>47908</v>
      </c>
      <c r="AF133" s="203">
        <f>IF(Dashboard!$R$24="Float",AF132+Dashboard!$R$24/12,AF132)</f>
        <v>0.06</v>
      </c>
      <c r="AG133" s="204">
        <f t="shared" si="129"/>
        <v>116</v>
      </c>
      <c r="AH133" s="205">
        <f t="shared" si="130"/>
        <v>0</v>
      </c>
      <c r="AI133" s="205">
        <f t="shared" si="113"/>
        <v>0</v>
      </c>
      <c r="AJ133" s="205">
        <f t="shared" si="114"/>
        <v>0</v>
      </c>
      <c r="AK133" s="205">
        <f t="shared" si="131"/>
        <v>0</v>
      </c>
      <c r="AL133" s="205">
        <f t="shared" si="132"/>
        <v>0</v>
      </c>
      <c r="AM133" s="199"/>
      <c r="AN133" s="200">
        <f t="shared" si="180"/>
        <v>11</v>
      </c>
      <c r="AO133" s="201">
        <f t="shared" si="177"/>
        <v>8</v>
      </c>
      <c r="AP133" s="202">
        <f t="shared" ca="1" si="140"/>
        <v>47908</v>
      </c>
      <c r="AQ133" s="203">
        <f>IF(Dashboard!$S$20="Float",AQ132+Dashboard!$T$20/12,AQ132)</f>
        <v>4.4999999999999998E-2</v>
      </c>
      <c r="AR133" s="204">
        <f t="shared" si="133"/>
        <v>116</v>
      </c>
      <c r="AS133" s="205">
        <f t="shared" si="134"/>
        <v>2900162.6951306579</v>
      </c>
      <c r="AT133" s="205">
        <f t="shared" si="117"/>
        <v>-18117.071455543861</v>
      </c>
      <c r="AU133" s="205">
        <f t="shared" si="118"/>
        <v>-10875.610106739967</v>
      </c>
      <c r="AV133" s="205">
        <f t="shared" si="135"/>
        <v>-7241.461348803894</v>
      </c>
      <c r="AW133" s="205">
        <f t="shared" si="136"/>
        <v>2892921.2337818542</v>
      </c>
      <c r="AX133" s="199"/>
    </row>
    <row r="134" spans="1:50">
      <c r="A134" s="73"/>
      <c r="B134" s="570"/>
      <c r="C134" s="200">
        <f t="shared" si="178"/>
        <v>10</v>
      </c>
      <c r="D134" s="201">
        <f t="shared" si="174"/>
        <v>9</v>
      </c>
      <c r="E134" s="202">
        <f t="shared" ca="1" si="137"/>
        <v>47939</v>
      </c>
      <c r="F134" s="203">
        <f>+VLOOKUP($C134,Dashboard!$S$4:$T$13,2,0)</f>
        <v>0.04</v>
      </c>
      <c r="G134" s="204">
        <f t="shared" si="119"/>
        <v>117</v>
      </c>
      <c r="H134" s="205">
        <f t="shared" si="120"/>
        <v>2986352.0621568337</v>
      </c>
      <c r="I134" s="205">
        <f t="shared" si="105"/>
        <v>-17903.073579954726</v>
      </c>
      <c r="J134" s="205">
        <f t="shared" si="106"/>
        <v>-9954.5068738561131</v>
      </c>
      <c r="K134" s="205">
        <f t="shared" si="121"/>
        <v>-7948.5667060986125</v>
      </c>
      <c r="L134" s="205">
        <f t="shared" si="122"/>
        <v>2978403.4954507351</v>
      </c>
      <c r="M134" s="199"/>
      <c r="N134" s="200">
        <f t="shared" ca="1" si="123"/>
        <v>0</v>
      </c>
      <c r="O134" s="509">
        <f t="shared" ca="1" si="107"/>
        <v>0</v>
      </c>
      <c r="P134" s="200">
        <f t="shared" ca="1" si="108"/>
        <v>0</v>
      </c>
      <c r="Q134" s="201">
        <f t="shared" si="175"/>
        <v>9</v>
      </c>
      <c r="R134" s="202">
        <f t="shared" si="138"/>
        <v>43344</v>
      </c>
      <c r="S134" s="203">
        <f t="shared" si="124"/>
        <v>0.04</v>
      </c>
      <c r="T134" s="204" t="str">
        <f t="shared" ca="1" si="125"/>
        <v>I/O</v>
      </c>
      <c r="U134" s="205">
        <f t="shared" ca="1" si="126"/>
        <v>500000</v>
      </c>
      <c r="V134" s="205">
        <f t="shared" ca="1" si="109"/>
        <v>-1666.6666666666667</v>
      </c>
      <c r="W134" s="205">
        <f t="shared" ca="1" si="110"/>
        <v>-1666.6666666666667</v>
      </c>
      <c r="X134" s="205">
        <f t="shared" ca="1" si="127"/>
        <v>0</v>
      </c>
      <c r="Y134" s="205">
        <f t="shared" ca="1" si="128"/>
        <v>500000</v>
      </c>
      <c r="Z134" s="199"/>
      <c r="AA134" s="200">
        <f t="shared" ca="1" si="116"/>
        <v>10</v>
      </c>
      <c r="AB134" s="509">
        <f t="shared" ca="1" si="111"/>
        <v>116</v>
      </c>
      <c r="AC134" s="200">
        <f t="shared" si="179"/>
        <v>10</v>
      </c>
      <c r="AD134" s="201">
        <f t="shared" si="176"/>
        <v>9</v>
      </c>
      <c r="AE134" s="202">
        <f t="shared" ca="1" si="139"/>
        <v>47939</v>
      </c>
      <c r="AF134" s="203">
        <f>IF(Dashboard!$R$24="Float",AF133+Dashboard!$R$24/12,AF133)</f>
        <v>0.06</v>
      </c>
      <c r="AG134" s="204">
        <f t="shared" si="129"/>
        <v>117</v>
      </c>
      <c r="AH134" s="205">
        <f t="shared" si="130"/>
        <v>0</v>
      </c>
      <c r="AI134" s="205">
        <f t="shared" si="113"/>
        <v>0</v>
      </c>
      <c r="AJ134" s="205">
        <f t="shared" si="114"/>
        <v>0</v>
      </c>
      <c r="AK134" s="205">
        <f t="shared" si="131"/>
        <v>0</v>
      </c>
      <c r="AL134" s="205">
        <f t="shared" si="132"/>
        <v>0</v>
      </c>
      <c r="AM134" s="199"/>
      <c r="AN134" s="200">
        <f t="shared" si="180"/>
        <v>11</v>
      </c>
      <c r="AO134" s="201">
        <f t="shared" si="177"/>
        <v>9</v>
      </c>
      <c r="AP134" s="202">
        <f t="shared" ca="1" si="140"/>
        <v>47939</v>
      </c>
      <c r="AQ134" s="203">
        <f>IF(Dashboard!$S$20="Float",AQ133+Dashboard!$T$20/12,AQ133)</f>
        <v>4.4999999999999998E-2</v>
      </c>
      <c r="AR134" s="204">
        <f t="shared" si="133"/>
        <v>117</v>
      </c>
      <c r="AS134" s="205">
        <f t="shared" si="134"/>
        <v>2892921.2337818542</v>
      </c>
      <c r="AT134" s="205">
        <f t="shared" si="117"/>
        <v>-18117.071455543857</v>
      </c>
      <c r="AU134" s="205">
        <f t="shared" si="118"/>
        <v>-10848.454626681953</v>
      </c>
      <c r="AV134" s="205">
        <f t="shared" si="135"/>
        <v>-7268.6168288619047</v>
      </c>
      <c r="AW134" s="205">
        <f t="shared" si="136"/>
        <v>2885652.616952992</v>
      </c>
      <c r="AX134" s="199"/>
    </row>
    <row r="135" spans="1:50">
      <c r="A135" s="73"/>
      <c r="B135" s="570"/>
      <c r="C135" s="200">
        <f t="shared" si="178"/>
        <v>10</v>
      </c>
      <c r="D135" s="201">
        <f t="shared" si="174"/>
        <v>10</v>
      </c>
      <c r="E135" s="202">
        <f t="shared" ca="1" si="137"/>
        <v>47969</v>
      </c>
      <c r="F135" s="203">
        <f>+VLOOKUP($C135,Dashboard!$S$4:$T$13,2,0)</f>
        <v>0.04</v>
      </c>
      <c r="G135" s="204">
        <f t="shared" si="119"/>
        <v>118</v>
      </c>
      <c r="H135" s="205">
        <f t="shared" si="120"/>
        <v>2978403.4954507351</v>
      </c>
      <c r="I135" s="205">
        <f t="shared" si="105"/>
        <v>-17903.073579954726</v>
      </c>
      <c r="J135" s="205">
        <f t="shared" si="106"/>
        <v>-9928.0116515024511</v>
      </c>
      <c r="K135" s="205">
        <f t="shared" si="121"/>
        <v>-7975.0619284522745</v>
      </c>
      <c r="L135" s="205">
        <f t="shared" si="122"/>
        <v>2970428.4335222826</v>
      </c>
      <c r="M135" s="199"/>
      <c r="N135" s="200">
        <f t="shared" ca="1" si="123"/>
        <v>0</v>
      </c>
      <c r="O135" s="509">
        <f t="shared" ca="1" si="107"/>
        <v>0</v>
      </c>
      <c r="P135" s="200">
        <f t="shared" ca="1" si="108"/>
        <v>0</v>
      </c>
      <c r="Q135" s="201">
        <f t="shared" si="175"/>
        <v>10</v>
      </c>
      <c r="R135" s="202">
        <f t="shared" si="138"/>
        <v>43374</v>
      </c>
      <c r="S135" s="203">
        <f t="shared" si="124"/>
        <v>0.04</v>
      </c>
      <c r="T135" s="204" t="str">
        <f t="shared" ca="1" si="125"/>
        <v>I/O</v>
      </c>
      <c r="U135" s="205">
        <f t="shared" ca="1" si="126"/>
        <v>500000</v>
      </c>
      <c r="V135" s="205">
        <f t="shared" ca="1" si="109"/>
        <v>-1666.6666666666667</v>
      </c>
      <c r="W135" s="205">
        <f t="shared" ca="1" si="110"/>
        <v>-1666.6666666666667</v>
      </c>
      <c r="X135" s="205">
        <f t="shared" ca="1" si="127"/>
        <v>0</v>
      </c>
      <c r="Y135" s="205">
        <f t="shared" ca="1" si="128"/>
        <v>500000</v>
      </c>
      <c r="Z135" s="199"/>
      <c r="AA135" s="200">
        <f t="shared" ca="1" si="116"/>
        <v>10</v>
      </c>
      <c r="AB135" s="509">
        <f t="shared" ca="1" si="111"/>
        <v>117</v>
      </c>
      <c r="AC135" s="200">
        <f t="shared" si="179"/>
        <v>10</v>
      </c>
      <c r="AD135" s="201">
        <f t="shared" si="176"/>
        <v>10</v>
      </c>
      <c r="AE135" s="202">
        <f t="shared" ca="1" si="139"/>
        <v>47969</v>
      </c>
      <c r="AF135" s="203">
        <f>IF(Dashboard!$R$24="Float",AF134+Dashboard!$R$24/12,AF134)</f>
        <v>0.06</v>
      </c>
      <c r="AG135" s="204">
        <f t="shared" si="129"/>
        <v>118</v>
      </c>
      <c r="AH135" s="205">
        <f t="shared" si="130"/>
        <v>0</v>
      </c>
      <c r="AI135" s="205">
        <f t="shared" si="113"/>
        <v>0</v>
      </c>
      <c r="AJ135" s="205">
        <f t="shared" si="114"/>
        <v>0</v>
      </c>
      <c r="AK135" s="205">
        <f t="shared" si="131"/>
        <v>0</v>
      </c>
      <c r="AL135" s="205">
        <f t="shared" si="132"/>
        <v>0</v>
      </c>
      <c r="AM135" s="199"/>
      <c r="AN135" s="200">
        <f t="shared" si="180"/>
        <v>11</v>
      </c>
      <c r="AO135" s="201">
        <f t="shared" si="177"/>
        <v>10</v>
      </c>
      <c r="AP135" s="202">
        <f t="shared" ca="1" si="140"/>
        <v>47969</v>
      </c>
      <c r="AQ135" s="203">
        <f>IF(Dashboard!$S$20="Float",AQ134+Dashboard!$T$20/12,AQ134)</f>
        <v>4.4999999999999998E-2</v>
      </c>
      <c r="AR135" s="204">
        <f t="shared" si="133"/>
        <v>118</v>
      </c>
      <c r="AS135" s="205">
        <f t="shared" si="134"/>
        <v>2885652.616952992</v>
      </c>
      <c r="AT135" s="205">
        <f t="shared" si="117"/>
        <v>-18117.071455543857</v>
      </c>
      <c r="AU135" s="205">
        <f t="shared" si="118"/>
        <v>-10821.197313573719</v>
      </c>
      <c r="AV135" s="205">
        <f t="shared" si="135"/>
        <v>-7295.8741419701382</v>
      </c>
      <c r="AW135" s="205">
        <f t="shared" si="136"/>
        <v>2878356.7428110219</v>
      </c>
      <c r="AX135" s="199"/>
    </row>
    <row r="136" spans="1:50">
      <c r="A136" s="73"/>
      <c r="B136" s="570"/>
      <c r="C136" s="200">
        <f t="shared" si="178"/>
        <v>10</v>
      </c>
      <c r="D136" s="201">
        <f t="shared" si="174"/>
        <v>11</v>
      </c>
      <c r="E136" s="202">
        <f t="shared" ca="1" si="137"/>
        <v>48000</v>
      </c>
      <c r="F136" s="203">
        <f>+VLOOKUP($C136,Dashboard!$S$4:$T$13,2,0)</f>
        <v>0.04</v>
      </c>
      <c r="G136" s="204">
        <f t="shared" si="119"/>
        <v>119</v>
      </c>
      <c r="H136" s="205">
        <f t="shared" si="120"/>
        <v>2970428.4335222826</v>
      </c>
      <c r="I136" s="205">
        <f t="shared" si="105"/>
        <v>-17903.073579954726</v>
      </c>
      <c r="J136" s="205">
        <f t="shared" si="106"/>
        <v>-9901.4281117409428</v>
      </c>
      <c r="K136" s="205">
        <f t="shared" si="121"/>
        <v>-8001.6454682137828</v>
      </c>
      <c r="L136" s="205">
        <f t="shared" si="122"/>
        <v>2962426.788054069</v>
      </c>
      <c r="M136" s="199"/>
      <c r="N136" s="200">
        <f t="shared" ca="1" si="123"/>
        <v>0</v>
      </c>
      <c r="O136" s="509">
        <f t="shared" ca="1" si="107"/>
        <v>0</v>
      </c>
      <c r="P136" s="200">
        <f t="shared" ca="1" si="108"/>
        <v>0</v>
      </c>
      <c r="Q136" s="201">
        <f t="shared" si="175"/>
        <v>11</v>
      </c>
      <c r="R136" s="202">
        <f t="shared" si="138"/>
        <v>43405</v>
      </c>
      <c r="S136" s="203">
        <f t="shared" si="124"/>
        <v>0.04</v>
      </c>
      <c r="T136" s="204" t="str">
        <f t="shared" ca="1" si="125"/>
        <v>I/O</v>
      </c>
      <c r="U136" s="205">
        <f t="shared" ca="1" si="126"/>
        <v>500000</v>
      </c>
      <c r="V136" s="205">
        <f t="shared" ca="1" si="109"/>
        <v>-1666.6666666666667</v>
      </c>
      <c r="W136" s="205">
        <f t="shared" ca="1" si="110"/>
        <v>-1666.6666666666667</v>
      </c>
      <c r="X136" s="205">
        <f t="shared" ca="1" si="127"/>
        <v>0</v>
      </c>
      <c r="Y136" s="205">
        <f t="shared" ca="1" si="128"/>
        <v>500000</v>
      </c>
      <c r="Z136" s="199"/>
      <c r="AA136" s="200">
        <f t="shared" ca="1" si="116"/>
        <v>10</v>
      </c>
      <c r="AB136" s="509">
        <f t="shared" ca="1" si="111"/>
        <v>118</v>
      </c>
      <c r="AC136" s="200">
        <f t="shared" si="179"/>
        <v>10</v>
      </c>
      <c r="AD136" s="201">
        <f t="shared" si="176"/>
        <v>11</v>
      </c>
      <c r="AE136" s="202">
        <f t="shared" ca="1" si="139"/>
        <v>48000</v>
      </c>
      <c r="AF136" s="203">
        <f>IF(Dashboard!$R$24="Float",AF135+Dashboard!$R$24/12,AF135)</f>
        <v>0.06</v>
      </c>
      <c r="AG136" s="204">
        <f t="shared" si="129"/>
        <v>119</v>
      </c>
      <c r="AH136" s="205">
        <f t="shared" si="130"/>
        <v>0</v>
      </c>
      <c r="AI136" s="205">
        <f t="shared" si="113"/>
        <v>0</v>
      </c>
      <c r="AJ136" s="205">
        <f t="shared" si="114"/>
        <v>0</v>
      </c>
      <c r="AK136" s="205">
        <f t="shared" si="131"/>
        <v>0</v>
      </c>
      <c r="AL136" s="205">
        <f t="shared" si="132"/>
        <v>0</v>
      </c>
      <c r="AM136" s="199"/>
      <c r="AN136" s="200">
        <f t="shared" si="180"/>
        <v>11</v>
      </c>
      <c r="AO136" s="201">
        <f t="shared" si="177"/>
        <v>11</v>
      </c>
      <c r="AP136" s="202">
        <f t="shared" ca="1" si="140"/>
        <v>48000</v>
      </c>
      <c r="AQ136" s="203">
        <f>IF(Dashboard!$S$20="Float",AQ135+Dashboard!$T$20/12,AQ135)</f>
        <v>4.4999999999999998E-2</v>
      </c>
      <c r="AR136" s="204">
        <f t="shared" si="133"/>
        <v>119</v>
      </c>
      <c r="AS136" s="205">
        <f t="shared" si="134"/>
        <v>2878356.7428110219</v>
      </c>
      <c r="AT136" s="205">
        <f t="shared" si="117"/>
        <v>-18117.071455543861</v>
      </c>
      <c r="AU136" s="205">
        <f t="shared" si="118"/>
        <v>-10793.837785541333</v>
      </c>
      <c r="AV136" s="205">
        <f t="shared" si="135"/>
        <v>-7323.233670002528</v>
      </c>
      <c r="AW136" s="205">
        <f t="shared" si="136"/>
        <v>2871033.5091410195</v>
      </c>
      <c r="AX136" s="199"/>
    </row>
    <row r="137" spans="1:50">
      <c r="A137" s="73"/>
      <c r="B137" s="570"/>
      <c r="C137" s="200">
        <f t="shared" si="178"/>
        <v>10</v>
      </c>
      <c r="D137" s="201">
        <f t="shared" si="174"/>
        <v>12</v>
      </c>
      <c r="E137" s="202">
        <f t="shared" ca="1" si="137"/>
        <v>48030</v>
      </c>
      <c r="F137" s="203">
        <f>+VLOOKUP($C137,Dashboard!$S$4:$T$13,2,0)</f>
        <v>0.04</v>
      </c>
      <c r="G137" s="204">
        <f t="shared" si="119"/>
        <v>120</v>
      </c>
      <c r="H137" s="205">
        <f t="shared" si="120"/>
        <v>2962426.788054069</v>
      </c>
      <c r="I137" s="205">
        <f t="shared" si="105"/>
        <v>-17903.073579954726</v>
      </c>
      <c r="J137" s="205">
        <f t="shared" si="106"/>
        <v>-9874.7559601802295</v>
      </c>
      <c r="K137" s="205">
        <f t="shared" si="121"/>
        <v>-8028.3176197744961</v>
      </c>
      <c r="L137" s="205">
        <f t="shared" si="122"/>
        <v>2954398.4704342945</v>
      </c>
      <c r="M137" s="199"/>
      <c r="N137" s="200">
        <f t="shared" ca="1" si="123"/>
        <v>0</v>
      </c>
      <c r="O137" s="509">
        <f t="shared" ca="1" si="107"/>
        <v>0</v>
      </c>
      <c r="P137" s="200">
        <f t="shared" ca="1" si="108"/>
        <v>0</v>
      </c>
      <c r="Q137" s="201">
        <f t="shared" si="175"/>
        <v>12</v>
      </c>
      <c r="R137" s="202">
        <f t="shared" si="138"/>
        <v>43435</v>
      </c>
      <c r="S137" s="203">
        <f t="shared" si="124"/>
        <v>0.04</v>
      </c>
      <c r="T137" s="204" t="str">
        <f t="shared" ca="1" si="125"/>
        <v>I/O</v>
      </c>
      <c r="U137" s="205">
        <f t="shared" ca="1" si="126"/>
        <v>500000</v>
      </c>
      <c r="V137" s="205">
        <f t="shared" ca="1" si="109"/>
        <v>-1666.6666666666667</v>
      </c>
      <c r="W137" s="205">
        <f t="shared" ca="1" si="110"/>
        <v>-1666.6666666666667</v>
      </c>
      <c r="X137" s="205">
        <f t="shared" ca="1" si="127"/>
        <v>0</v>
      </c>
      <c r="Y137" s="205">
        <f t="shared" ca="1" si="128"/>
        <v>500000</v>
      </c>
      <c r="Z137" s="199"/>
      <c r="AA137" s="200">
        <f t="shared" ca="1" si="116"/>
        <v>10</v>
      </c>
      <c r="AB137" s="509">
        <f t="shared" ca="1" si="111"/>
        <v>119</v>
      </c>
      <c r="AC137" s="200">
        <f t="shared" si="179"/>
        <v>10</v>
      </c>
      <c r="AD137" s="201">
        <f t="shared" si="176"/>
        <v>12</v>
      </c>
      <c r="AE137" s="202">
        <f t="shared" ca="1" si="139"/>
        <v>48030</v>
      </c>
      <c r="AF137" s="203">
        <f>IF(Dashboard!$R$24="Float",AF136+Dashboard!$R$24/12,AF136)</f>
        <v>0.06</v>
      </c>
      <c r="AG137" s="204">
        <f t="shared" si="129"/>
        <v>120</v>
      </c>
      <c r="AH137" s="205">
        <f t="shared" si="130"/>
        <v>0</v>
      </c>
      <c r="AI137" s="205">
        <f t="shared" si="113"/>
        <v>0</v>
      </c>
      <c r="AJ137" s="205">
        <f t="shared" si="114"/>
        <v>0</v>
      </c>
      <c r="AK137" s="205">
        <f t="shared" si="131"/>
        <v>0</v>
      </c>
      <c r="AL137" s="205">
        <f t="shared" si="132"/>
        <v>0</v>
      </c>
      <c r="AM137" s="199"/>
      <c r="AN137" s="200">
        <f t="shared" si="180"/>
        <v>11</v>
      </c>
      <c r="AO137" s="201">
        <f t="shared" si="177"/>
        <v>12</v>
      </c>
      <c r="AP137" s="202">
        <f t="shared" ca="1" si="140"/>
        <v>48030</v>
      </c>
      <c r="AQ137" s="203">
        <f>IF(Dashboard!$S$20="Float",AQ136+Dashboard!$T$20/12,AQ136)</f>
        <v>4.4999999999999998E-2</v>
      </c>
      <c r="AR137" s="204">
        <f t="shared" si="133"/>
        <v>120</v>
      </c>
      <c r="AS137" s="205">
        <f t="shared" si="134"/>
        <v>2871033.5091410195</v>
      </c>
      <c r="AT137" s="205">
        <f t="shared" si="117"/>
        <v>-18117.071455543861</v>
      </c>
      <c r="AU137" s="205">
        <f t="shared" si="118"/>
        <v>-10766.375659278823</v>
      </c>
      <c r="AV137" s="205">
        <f t="shared" si="135"/>
        <v>-7350.6957962650376</v>
      </c>
      <c r="AW137" s="205">
        <f t="shared" si="136"/>
        <v>2863682.8133447543</v>
      </c>
      <c r="AX137" s="199"/>
    </row>
    <row r="138" spans="1:50">
      <c r="A138" s="73"/>
      <c r="B138" s="571">
        <f>+C138</f>
        <v>11</v>
      </c>
      <c r="C138" s="16">
        <f t="shared" ref="C138" si="181">+C137+1</f>
        <v>11</v>
      </c>
      <c r="D138" s="17">
        <v>1</v>
      </c>
      <c r="E138" s="18">
        <f t="shared" ca="1" si="137"/>
        <v>48061</v>
      </c>
      <c r="F138" s="10">
        <f>IF(Dashboard!$Q$5="Float",F137+Dashboard!$R$5/12,F137)</f>
        <v>0.04</v>
      </c>
      <c r="G138" s="14">
        <f t="shared" si="119"/>
        <v>121</v>
      </c>
      <c r="H138" s="5">
        <f t="shared" si="120"/>
        <v>2954398.4704342945</v>
      </c>
      <c r="I138" s="5">
        <f t="shared" si="105"/>
        <v>-17903.073579954726</v>
      </c>
      <c r="J138" s="5">
        <f t="shared" si="106"/>
        <v>-9847.9949014476497</v>
      </c>
      <c r="K138" s="5">
        <f t="shared" si="121"/>
        <v>-8055.0786785070759</v>
      </c>
      <c r="L138" s="5">
        <f t="shared" si="122"/>
        <v>2946343.3917557877</v>
      </c>
      <c r="M138" s="199"/>
      <c r="N138" s="16">
        <f t="shared" ca="1" si="123"/>
        <v>0</v>
      </c>
      <c r="O138" s="508">
        <f t="shared" ca="1" si="107"/>
        <v>0</v>
      </c>
      <c r="P138" s="16">
        <f t="shared" ca="1" si="108"/>
        <v>0</v>
      </c>
      <c r="Q138" s="17">
        <v>1</v>
      </c>
      <c r="R138" s="18">
        <f t="shared" si="138"/>
        <v>43466</v>
      </c>
      <c r="S138" s="10">
        <f t="shared" si="124"/>
        <v>0.04</v>
      </c>
      <c r="T138" s="14" t="str">
        <f t="shared" ca="1" si="125"/>
        <v>I/O</v>
      </c>
      <c r="U138" s="5">
        <f t="shared" ca="1" si="126"/>
        <v>500000</v>
      </c>
      <c r="V138" s="5">
        <f t="shared" ca="1" si="109"/>
        <v>-1666.6666666666667</v>
      </c>
      <c r="W138" s="5">
        <f t="shared" ca="1" si="110"/>
        <v>-1666.6666666666667</v>
      </c>
      <c r="X138" s="5">
        <f t="shared" ca="1" si="127"/>
        <v>0</v>
      </c>
      <c r="Y138" s="5">
        <f t="shared" ca="1" si="128"/>
        <v>500000</v>
      </c>
      <c r="Z138" s="199"/>
      <c r="AA138" s="16">
        <f t="shared" ca="1" si="116"/>
        <v>10</v>
      </c>
      <c r="AB138" s="508">
        <f t="shared" ca="1" si="111"/>
        <v>120</v>
      </c>
      <c r="AC138" s="16">
        <f t="shared" ref="AC138" si="182">+AC137+1</f>
        <v>11</v>
      </c>
      <c r="AD138" s="17">
        <v>1</v>
      </c>
      <c r="AE138" s="18">
        <f t="shared" ca="1" si="139"/>
        <v>48061</v>
      </c>
      <c r="AF138" s="10">
        <f>IF(Dashboard!$R$24="Float",AF137+Dashboard!$R$24/12,AF137)</f>
        <v>0.06</v>
      </c>
      <c r="AG138" s="14">
        <f t="shared" si="129"/>
        <v>121</v>
      </c>
      <c r="AH138" s="5">
        <f t="shared" si="130"/>
        <v>0</v>
      </c>
      <c r="AI138" s="5">
        <f t="shared" si="113"/>
        <v>0</v>
      </c>
      <c r="AJ138" s="5">
        <f t="shared" si="114"/>
        <v>0</v>
      </c>
      <c r="AK138" s="5">
        <f t="shared" si="131"/>
        <v>0</v>
      </c>
      <c r="AL138" s="5">
        <f t="shared" si="132"/>
        <v>0</v>
      </c>
      <c r="AM138" s="199"/>
      <c r="AN138" s="16">
        <f t="shared" ref="AN138" si="183">+AN137+1</f>
        <v>12</v>
      </c>
      <c r="AO138" s="17">
        <v>1</v>
      </c>
      <c r="AP138" s="18">
        <f t="shared" ca="1" si="140"/>
        <v>48061</v>
      </c>
      <c r="AQ138" s="10">
        <f>IF(Dashboard!$S$20="Float",AQ137+Dashboard!$T$20/12,AQ137)</f>
        <v>4.4999999999999998E-2</v>
      </c>
      <c r="AR138" s="14">
        <f t="shared" si="133"/>
        <v>121</v>
      </c>
      <c r="AS138" s="5">
        <f t="shared" si="134"/>
        <v>2863682.8133447543</v>
      </c>
      <c r="AT138" s="5">
        <f t="shared" si="117"/>
        <v>-18117.071455543857</v>
      </c>
      <c r="AU138" s="5">
        <f t="shared" si="118"/>
        <v>-10738.810550042828</v>
      </c>
      <c r="AV138" s="5">
        <f t="shared" si="135"/>
        <v>-7378.2609055010289</v>
      </c>
      <c r="AW138" s="5">
        <f t="shared" si="136"/>
        <v>2856304.5524392533</v>
      </c>
      <c r="AX138" s="199"/>
    </row>
    <row r="139" spans="1:50">
      <c r="A139" s="73"/>
      <c r="B139" s="572"/>
      <c r="C139" s="16">
        <f>+C138</f>
        <v>11</v>
      </c>
      <c r="D139" s="17">
        <f>+D138+1</f>
        <v>2</v>
      </c>
      <c r="E139" s="18">
        <f t="shared" ca="1" si="137"/>
        <v>48092</v>
      </c>
      <c r="F139" s="10">
        <f>IF(Dashboard!$Q$5="Float",F138+Dashboard!$R$5/12,F138)</f>
        <v>0.04</v>
      </c>
      <c r="G139" s="14">
        <f t="shared" si="119"/>
        <v>122</v>
      </c>
      <c r="H139" s="5">
        <f t="shared" si="120"/>
        <v>2946343.3917557877</v>
      </c>
      <c r="I139" s="5">
        <f t="shared" si="105"/>
        <v>-17903.073579954729</v>
      </c>
      <c r="J139" s="5">
        <f t="shared" si="106"/>
        <v>-9821.144639185959</v>
      </c>
      <c r="K139" s="5">
        <f t="shared" si="121"/>
        <v>-8081.9289407687702</v>
      </c>
      <c r="L139" s="5">
        <f t="shared" si="122"/>
        <v>2938261.4628150188</v>
      </c>
      <c r="M139" s="199"/>
      <c r="N139" s="16">
        <f t="shared" ca="1" si="123"/>
        <v>0</v>
      </c>
      <c r="O139" s="508">
        <f t="shared" ca="1" si="107"/>
        <v>0</v>
      </c>
      <c r="P139" s="16">
        <f t="shared" ca="1" si="108"/>
        <v>0</v>
      </c>
      <c r="Q139" s="17">
        <f>+Q138+1</f>
        <v>2</v>
      </c>
      <c r="R139" s="18">
        <f t="shared" si="138"/>
        <v>43497</v>
      </c>
      <c r="S139" s="10">
        <f t="shared" si="124"/>
        <v>0.04</v>
      </c>
      <c r="T139" s="14" t="str">
        <f t="shared" ca="1" si="125"/>
        <v>I/O</v>
      </c>
      <c r="U139" s="5">
        <f t="shared" ca="1" si="126"/>
        <v>500000</v>
      </c>
      <c r="V139" s="5">
        <f t="shared" ca="1" si="109"/>
        <v>-1666.6666666666667</v>
      </c>
      <c r="W139" s="5">
        <f t="shared" ca="1" si="110"/>
        <v>-1666.6666666666667</v>
      </c>
      <c r="X139" s="5">
        <f t="shared" ca="1" si="127"/>
        <v>0</v>
      </c>
      <c r="Y139" s="5">
        <f t="shared" ca="1" si="128"/>
        <v>500000</v>
      </c>
      <c r="Z139" s="199"/>
      <c r="AA139" s="16">
        <f t="shared" ca="1" si="116"/>
        <v>11</v>
      </c>
      <c r="AB139" s="508">
        <f t="shared" ca="1" si="111"/>
        <v>121</v>
      </c>
      <c r="AC139" s="16">
        <f>+AC138</f>
        <v>11</v>
      </c>
      <c r="AD139" s="17">
        <f>+AD138+1</f>
        <v>2</v>
      </c>
      <c r="AE139" s="18">
        <f t="shared" ca="1" si="139"/>
        <v>48092</v>
      </c>
      <c r="AF139" s="10">
        <f>IF(Dashboard!$R$24="Float",AF138+Dashboard!$R$24/12,AF138)</f>
        <v>0.06</v>
      </c>
      <c r="AG139" s="14">
        <f t="shared" si="129"/>
        <v>122</v>
      </c>
      <c r="AH139" s="5">
        <f t="shared" si="130"/>
        <v>0</v>
      </c>
      <c r="AI139" s="5">
        <f t="shared" si="113"/>
        <v>0</v>
      </c>
      <c r="AJ139" s="5">
        <f t="shared" si="114"/>
        <v>0</v>
      </c>
      <c r="AK139" s="5">
        <f t="shared" si="131"/>
        <v>0</v>
      </c>
      <c r="AL139" s="5">
        <f t="shared" si="132"/>
        <v>0</v>
      </c>
      <c r="AM139" s="199"/>
      <c r="AN139" s="16">
        <f>+AN138</f>
        <v>12</v>
      </c>
      <c r="AO139" s="17">
        <f>+AO138+1</f>
        <v>2</v>
      </c>
      <c r="AP139" s="18">
        <f t="shared" ca="1" si="140"/>
        <v>48092</v>
      </c>
      <c r="AQ139" s="10">
        <f>IF(Dashboard!$S$20="Float",AQ138+Dashboard!$T$20/12,AQ138)</f>
        <v>4.4999999999999998E-2</v>
      </c>
      <c r="AR139" s="14">
        <f t="shared" si="133"/>
        <v>122</v>
      </c>
      <c r="AS139" s="5">
        <f t="shared" si="134"/>
        <v>2856304.5524392533</v>
      </c>
      <c r="AT139" s="5">
        <f t="shared" si="117"/>
        <v>-18117.071455543857</v>
      </c>
      <c r="AU139" s="5">
        <f t="shared" si="118"/>
        <v>-10711.1420716472</v>
      </c>
      <c r="AV139" s="5">
        <f t="shared" si="135"/>
        <v>-7405.9293838966569</v>
      </c>
      <c r="AW139" s="5">
        <f t="shared" si="136"/>
        <v>2848898.6230553566</v>
      </c>
      <c r="AX139" s="199"/>
    </row>
    <row r="140" spans="1:50">
      <c r="A140" s="73"/>
      <c r="B140" s="572"/>
      <c r="C140" s="16">
        <f>+C139</f>
        <v>11</v>
      </c>
      <c r="D140" s="17">
        <f>+D139+1</f>
        <v>3</v>
      </c>
      <c r="E140" s="18">
        <f t="shared" ca="1" si="137"/>
        <v>48122</v>
      </c>
      <c r="F140" s="10">
        <f>IF(Dashboard!$Q$5="Float",F139+Dashboard!$R$5/12,F139)</f>
        <v>0.04</v>
      </c>
      <c r="G140" s="14">
        <f t="shared" si="119"/>
        <v>123</v>
      </c>
      <c r="H140" s="5">
        <f t="shared" si="120"/>
        <v>2938261.4628150188</v>
      </c>
      <c r="I140" s="5">
        <f t="shared" si="105"/>
        <v>-17903.073579954722</v>
      </c>
      <c r="J140" s="5">
        <f t="shared" si="106"/>
        <v>-9794.2048760500638</v>
      </c>
      <c r="K140" s="5">
        <f t="shared" si="121"/>
        <v>-8108.8687039046581</v>
      </c>
      <c r="L140" s="5">
        <f t="shared" si="122"/>
        <v>2930152.5941111143</v>
      </c>
      <c r="M140" s="199"/>
      <c r="N140" s="16">
        <f t="shared" ca="1" si="123"/>
        <v>0</v>
      </c>
      <c r="O140" s="508">
        <f t="shared" ca="1" si="107"/>
        <v>0</v>
      </c>
      <c r="P140" s="16">
        <f t="shared" ca="1" si="108"/>
        <v>0</v>
      </c>
      <c r="Q140" s="17">
        <f>+Q139+1</f>
        <v>3</v>
      </c>
      <c r="R140" s="18">
        <f t="shared" si="138"/>
        <v>43525</v>
      </c>
      <c r="S140" s="10">
        <f t="shared" si="124"/>
        <v>0.04</v>
      </c>
      <c r="T140" s="14" t="str">
        <f t="shared" ca="1" si="125"/>
        <v>I/O</v>
      </c>
      <c r="U140" s="5">
        <f t="shared" ca="1" si="126"/>
        <v>500000</v>
      </c>
      <c r="V140" s="5">
        <f t="shared" ca="1" si="109"/>
        <v>-1666.6666666666667</v>
      </c>
      <c r="W140" s="5">
        <f t="shared" ca="1" si="110"/>
        <v>-1666.6666666666667</v>
      </c>
      <c r="X140" s="5">
        <f t="shared" ca="1" si="127"/>
        <v>0</v>
      </c>
      <c r="Y140" s="5">
        <f t="shared" ca="1" si="128"/>
        <v>500000</v>
      </c>
      <c r="Z140" s="199"/>
      <c r="AA140" s="16">
        <f t="shared" ca="1" si="116"/>
        <v>11</v>
      </c>
      <c r="AB140" s="508">
        <f t="shared" ca="1" si="111"/>
        <v>122</v>
      </c>
      <c r="AC140" s="16">
        <f>+AC139</f>
        <v>11</v>
      </c>
      <c r="AD140" s="17">
        <f>+AD139+1</f>
        <v>3</v>
      </c>
      <c r="AE140" s="18">
        <f t="shared" ca="1" si="139"/>
        <v>48122</v>
      </c>
      <c r="AF140" s="10">
        <f>IF(Dashboard!$R$24="Float",AF139+Dashboard!$R$24/12,AF139)</f>
        <v>0.06</v>
      </c>
      <c r="AG140" s="14">
        <f t="shared" si="129"/>
        <v>123</v>
      </c>
      <c r="AH140" s="5">
        <f t="shared" si="130"/>
        <v>0</v>
      </c>
      <c r="AI140" s="5">
        <f t="shared" si="113"/>
        <v>0</v>
      </c>
      <c r="AJ140" s="5">
        <f t="shared" si="114"/>
        <v>0</v>
      </c>
      <c r="AK140" s="5">
        <f t="shared" si="131"/>
        <v>0</v>
      </c>
      <c r="AL140" s="5">
        <f t="shared" si="132"/>
        <v>0</v>
      </c>
      <c r="AM140" s="199"/>
      <c r="AN140" s="16">
        <f>+AN139</f>
        <v>12</v>
      </c>
      <c r="AO140" s="17">
        <f>+AO139+1</f>
        <v>3</v>
      </c>
      <c r="AP140" s="18">
        <f t="shared" ca="1" si="140"/>
        <v>48122</v>
      </c>
      <c r="AQ140" s="10">
        <f>IF(Dashboard!$S$20="Float",AQ139+Dashboard!$T$20/12,AQ139)</f>
        <v>4.4999999999999998E-2</v>
      </c>
      <c r="AR140" s="14">
        <f t="shared" si="133"/>
        <v>123</v>
      </c>
      <c r="AS140" s="5">
        <f t="shared" si="134"/>
        <v>2848898.6230553566</v>
      </c>
      <c r="AT140" s="5">
        <f t="shared" si="117"/>
        <v>-18117.071455543857</v>
      </c>
      <c r="AU140" s="5">
        <f t="shared" si="118"/>
        <v>-10683.369836457587</v>
      </c>
      <c r="AV140" s="5">
        <f t="shared" si="135"/>
        <v>-7433.7016190862705</v>
      </c>
      <c r="AW140" s="5">
        <f t="shared" si="136"/>
        <v>2841464.9214362702</v>
      </c>
      <c r="AX140" s="199"/>
    </row>
    <row r="141" spans="1:50">
      <c r="A141" s="73"/>
      <c r="B141" s="572"/>
      <c r="C141" s="16">
        <f>+C140</f>
        <v>11</v>
      </c>
      <c r="D141" s="17">
        <f t="shared" ref="D141:D149" si="184">+D140+1</f>
        <v>4</v>
      </c>
      <c r="E141" s="18">
        <f t="shared" ca="1" si="137"/>
        <v>48153</v>
      </c>
      <c r="F141" s="10">
        <f>IF(Dashboard!$Q$5="Float",F140+Dashboard!$R$5/12,F140)</f>
        <v>0.04</v>
      </c>
      <c r="G141" s="14">
        <f t="shared" si="119"/>
        <v>124</v>
      </c>
      <c r="H141" s="5">
        <f t="shared" si="120"/>
        <v>2930152.5941111143</v>
      </c>
      <c r="I141" s="5">
        <f t="shared" si="105"/>
        <v>-17903.073579954726</v>
      </c>
      <c r="J141" s="5">
        <f t="shared" si="106"/>
        <v>-9767.175313703714</v>
      </c>
      <c r="K141" s="5">
        <f t="shared" si="121"/>
        <v>-8135.8982662510116</v>
      </c>
      <c r="L141" s="5">
        <f t="shared" si="122"/>
        <v>2922016.6958448631</v>
      </c>
      <c r="M141" s="199"/>
      <c r="N141" s="16">
        <f t="shared" ca="1" si="123"/>
        <v>0</v>
      </c>
      <c r="O141" s="508">
        <f t="shared" ca="1" si="107"/>
        <v>0</v>
      </c>
      <c r="P141" s="16">
        <f t="shared" ca="1" si="108"/>
        <v>0</v>
      </c>
      <c r="Q141" s="17">
        <f t="shared" ref="Q141:Q149" si="185">+Q140+1</f>
        <v>4</v>
      </c>
      <c r="R141" s="18">
        <f t="shared" si="138"/>
        <v>43556</v>
      </c>
      <c r="S141" s="10">
        <f t="shared" si="124"/>
        <v>0.04</v>
      </c>
      <c r="T141" s="14" t="str">
        <f t="shared" ca="1" si="125"/>
        <v>I/O</v>
      </c>
      <c r="U141" s="5">
        <f t="shared" ca="1" si="126"/>
        <v>500000</v>
      </c>
      <c r="V141" s="5">
        <f t="shared" ca="1" si="109"/>
        <v>-1666.6666666666667</v>
      </c>
      <c r="W141" s="5">
        <f t="shared" ca="1" si="110"/>
        <v>-1666.6666666666667</v>
      </c>
      <c r="X141" s="5">
        <f t="shared" ca="1" si="127"/>
        <v>0</v>
      </c>
      <c r="Y141" s="5">
        <f t="shared" ca="1" si="128"/>
        <v>500000</v>
      </c>
      <c r="Z141" s="199"/>
      <c r="AA141" s="16">
        <f t="shared" ca="1" si="116"/>
        <v>11</v>
      </c>
      <c r="AB141" s="508">
        <f t="shared" ca="1" si="111"/>
        <v>123</v>
      </c>
      <c r="AC141" s="16">
        <f>+AC140</f>
        <v>11</v>
      </c>
      <c r="AD141" s="17">
        <f t="shared" ref="AD141:AD149" si="186">+AD140+1</f>
        <v>4</v>
      </c>
      <c r="AE141" s="18">
        <f t="shared" ca="1" si="139"/>
        <v>48153</v>
      </c>
      <c r="AF141" s="10">
        <f>IF(Dashboard!$R$24="Float",AF140+Dashboard!$R$24/12,AF140)</f>
        <v>0.06</v>
      </c>
      <c r="AG141" s="14">
        <f t="shared" si="129"/>
        <v>124</v>
      </c>
      <c r="AH141" s="5">
        <f t="shared" si="130"/>
        <v>0</v>
      </c>
      <c r="AI141" s="5">
        <f t="shared" si="113"/>
        <v>0</v>
      </c>
      <c r="AJ141" s="5">
        <f t="shared" si="114"/>
        <v>0</v>
      </c>
      <c r="AK141" s="5">
        <f t="shared" si="131"/>
        <v>0</v>
      </c>
      <c r="AL141" s="5">
        <f t="shared" si="132"/>
        <v>0</v>
      </c>
      <c r="AM141" s="199"/>
      <c r="AN141" s="16">
        <f>+AN140</f>
        <v>12</v>
      </c>
      <c r="AO141" s="17">
        <f t="shared" ref="AO141:AO149" si="187">+AO140+1</f>
        <v>4</v>
      </c>
      <c r="AP141" s="18">
        <f t="shared" ca="1" si="140"/>
        <v>48153</v>
      </c>
      <c r="AQ141" s="10">
        <f>IF(Dashboard!$S$20="Float",AQ140+Dashboard!$T$20/12,AQ140)</f>
        <v>4.4999999999999998E-2</v>
      </c>
      <c r="AR141" s="14">
        <f t="shared" si="133"/>
        <v>124</v>
      </c>
      <c r="AS141" s="5">
        <f t="shared" si="134"/>
        <v>2841464.9214362702</v>
      </c>
      <c r="AT141" s="5">
        <f t="shared" si="117"/>
        <v>-18117.071455543861</v>
      </c>
      <c r="AU141" s="5">
        <f t="shared" si="118"/>
        <v>-10655.493455386013</v>
      </c>
      <c r="AV141" s="5">
        <f t="shared" si="135"/>
        <v>-7461.5780001578478</v>
      </c>
      <c r="AW141" s="5">
        <f t="shared" si="136"/>
        <v>2834003.3434361122</v>
      </c>
      <c r="AX141" s="199"/>
    </row>
    <row r="142" spans="1:50">
      <c r="A142" s="73"/>
      <c r="B142" s="572"/>
      <c r="C142" s="16">
        <f t="shared" ref="C142:C149" si="188">+C141</f>
        <v>11</v>
      </c>
      <c r="D142" s="17">
        <f t="shared" si="184"/>
        <v>5</v>
      </c>
      <c r="E142" s="18">
        <f t="shared" ca="1" si="137"/>
        <v>48183</v>
      </c>
      <c r="F142" s="10">
        <f>IF(Dashboard!$Q$5="Float",F141+Dashboard!$R$5/12,F141)</f>
        <v>0.04</v>
      </c>
      <c r="G142" s="14">
        <f t="shared" si="119"/>
        <v>125</v>
      </c>
      <c r="H142" s="5">
        <f t="shared" si="120"/>
        <v>2922016.6958448631</v>
      </c>
      <c r="I142" s="5">
        <f t="shared" si="105"/>
        <v>-17903.073579954726</v>
      </c>
      <c r="J142" s="5">
        <f t="shared" si="106"/>
        <v>-9740.0556528162106</v>
      </c>
      <c r="K142" s="5">
        <f t="shared" si="121"/>
        <v>-8163.017927138515</v>
      </c>
      <c r="L142" s="5">
        <f t="shared" si="122"/>
        <v>2913853.6779177245</v>
      </c>
      <c r="M142" s="199"/>
      <c r="N142" s="16">
        <f t="shared" ca="1" si="123"/>
        <v>0</v>
      </c>
      <c r="O142" s="508">
        <f t="shared" ca="1" si="107"/>
        <v>0</v>
      </c>
      <c r="P142" s="16">
        <f t="shared" ca="1" si="108"/>
        <v>0</v>
      </c>
      <c r="Q142" s="17">
        <f t="shared" si="185"/>
        <v>5</v>
      </c>
      <c r="R142" s="18">
        <f t="shared" si="138"/>
        <v>43586</v>
      </c>
      <c r="S142" s="10">
        <f t="shared" si="124"/>
        <v>0.04</v>
      </c>
      <c r="T142" s="14" t="str">
        <f t="shared" ca="1" si="125"/>
        <v>I/O</v>
      </c>
      <c r="U142" s="5">
        <f t="shared" ca="1" si="126"/>
        <v>500000</v>
      </c>
      <c r="V142" s="5">
        <f t="shared" ca="1" si="109"/>
        <v>-1666.6666666666667</v>
      </c>
      <c r="W142" s="5">
        <f t="shared" ca="1" si="110"/>
        <v>-1666.6666666666667</v>
      </c>
      <c r="X142" s="5">
        <f t="shared" ca="1" si="127"/>
        <v>0</v>
      </c>
      <c r="Y142" s="5">
        <f t="shared" ca="1" si="128"/>
        <v>500000</v>
      </c>
      <c r="Z142" s="199"/>
      <c r="AA142" s="16">
        <f t="shared" ca="1" si="116"/>
        <v>11</v>
      </c>
      <c r="AB142" s="508">
        <f t="shared" ca="1" si="111"/>
        <v>124</v>
      </c>
      <c r="AC142" s="16">
        <f t="shared" ref="AC142:AC149" si="189">+AC141</f>
        <v>11</v>
      </c>
      <c r="AD142" s="17">
        <f t="shared" si="186"/>
        <v>5</v>
      </c>
      <c r="AE142" s="18">
        <f t="shared" ca="1" si="139"/>
        <v>48183</v>
      </c>
      <c r="AF142" s="10">
        <f>IF(Dashboard!$R$24="Float",AF141+Dashboard!$R$24/12,AF141)</f>
        <v>0.06</v>
      </c>
      <c r="AG142" s="14">
        <f t="shared" si="129"/>
        <v>125</v>
      </c>
      <c r="AH142" s="5">
        <f t="shared" si="130"/>
        <v>0</v>
      </c>
      <c r="AI142" s="5">
        <f t="shared" si="113"/>
        <v>0</v>
      </c>
      <c r="AJ142" s="5">
        <f t="shared" si="114"/>
        <v>0</v>
      </c>
      <c r="AK142" s="5">
        <f t="shared" si="131"/>
        <v>0</v>
      </c>
      <c r="AL142" s="5">
        <f t="shared" si="132"/>
        <v>0</v>
      </c>
      <c r="AM142" s="199"/>
      <c r="AN142" s="16">
        <f t="shared" ref="AN142:AN149" si="190">+AN141</f>
        <v>12</v>
      </c>
      <c r="AO142" s="17">
        <f t="shared" si="187"/>
        <v>5</v>
      </c>
      <c r="AP142" s="18">
        <f t="shared" ca="1" si="140"/>
        <v>48183</v>
      </c>
      <c r="AQ142" s="10">
        <f>IF(Dashboard!$S$20="Float",AQ141+Dashboard!$T$20/12,AQ141)</f>
        <v>4.4999999999999998E-2</v>
      </c>
      <c r="AR142" s="14">
        <f t="shared" si="133"/>
        <v>125</v>
      </c>
      <c r="AS142" s="5">
        <f t="shared" si="134"/>
        <v>2834003.3434361122</v>
      </c>
      <c r="AT142" s="5">
        <f t="shared" si="117"/>
        <v>-18117.071455543857</v>
      </c>
      <c r="AU142" s="5">
        <f t="shared" si="118"/>
        <v>-10627.512537885419</v>
      </c>
      <c r="AV142" s="5">
        <f t="shared" si="135"/>
        <v>-7489.5589176584381</v>
      </c>
      <c r="AW142" s="5">
        <f t="shared" si="136"/>
        <v>2826513.7845184538</v>
      </c>
      <c r="AX142" s="199"/>
    </row>
    <row r="143" spans="1:50">
      <c r="A143" s="73"/>
      <c r="B143" s="572"/>
      <c r="C143" s="16">
        <f t="shared" si="188"/>
        <v>11</v>
      </c>
      <c r="D143" s="17">
        <f t="shared" si="184"/>
        <v>6</v>
      </c>
      <c r="E143" s="18">
        <f t="shared" ca="1" si="137"/>
        <v>48214</v>
      </c>
      <c r="F143" s="10">
        <f>IF(Dashboard!$Q$5="Float",F142+Dashboard!$R$5/12,F142)</f>
        <v>0.04</v>
      </c>
      <c r="G143" s="14">
        <f t="shared" si="119"/>
        <v>126</v>
      </c>
      <c r="H143" s="5">
        <f t="shared" si="120"/>
        <v>2913853.6779177245</v>
      </c>
      <c r="I143" s="5">
        <f t="shared" si="105"/>
        <v>-17903.073579954722</v>
      </c>
      <c r="J143" s="5">
        <f t="shared" si="106"/>
        <v>-9712.8455930590808</v>
      </c>
      <c r="K143" s="5">
        <f t="shared" si="121"/>
        <v>-8190.2279868956412</v>
      </c>
      <c r="L143" s="5">
        <f t="shared" si="122"/>
        <v>2905663.449930829</v>
      </c>
      <c r="M143" s="199"/>
      <c r="N143" s="16">
        <f t="shared" ca="1" si="123"/>
        <v>0</v>
      </c>
      <c r="O143" s="508">
        <f t="shared" ca="1" si="107"/>
        <v>0</v>
      </c>
      <c r="P143" s="16">
        <f t="shared" ca="1" si="108"/>
        <v>0</v>
      </c>
      <c r="Q143" s="17">
        <f t="shared" si="185"/>
        <v>6</v>
      </c>
      <c r="R143" s="18">
        <f t="shared" si="138"/>
        <v>43617</v>
      </c>
      <c r="S143" s="10">
        <f t="shared" si="124"/>
        <v>0.04</v>
      </c>
      <c r="T143" s="14" t="str">
        <f t="shared" ca="1" si="125"/>
        <v>I/O</v>
      </c>
      <c r="U143" s="5">
        <f t="shared" ca="1" si="126"/>
        <v>500000</v>
      </c>
      <c r="V143" s="5">
        <f t="shared" ca="1" si="109"/>
        <v>-1666.6666666666667</v>
      </c>
      <c r="W143" s="5">
        <f t="shared" ca="1" si="110"/>
        <v>-1666.6666666666667</v>
      </c>
      <c r="X143" s="5">
        <f t="shared" ca="1" si="127"/>
        <v>0</v>
      </c>
      <c r="Y143" s="5">
        <f t="shared" ca="1" si="128"/>
        <v>500000</v>
      </c>
      <c r="Z143" s="199"/>
      <c r="AA143" s="16">
        <f t="shared" ca="1" si="116"/>
        <v>11</v>
      </c>
      <c r="AB143" s="508">
        <f t="shared" ca="1" si="111"/>
        <v>125</v>
      </c>
      <c r="AC143" s="16">
        <f t="shared" si="189"/>
        <v>11</v>
      </c>
      <c r="AD143" s="17">
        <f t="shared" si="186"/>
        <v>6</v>
      </c>
      <c r="AE143" s="18">
        <f t="shared" ca="1" si="139"/>
        <v>48214</v>
      </c>
      <c r="AF143" s="10">
        <f>IF(Dashboard!$R$24="Float",AF142+Dashboard!$R$24/12,AF142)</f>
        <v>0.06</v>
      </c>
      <c r="AG143" s="14">
        <f t="shared" si="129"/>
        <v>126</v>
      </c>
      <c r="AH143" s="5">
        <f t="shared" si="130"/>
        <v>0</v>
      </c>
      <c r="AI143" s="5">
        <f t="shared" si="113"/>
        <v>0</v>
      </c>
      <c r="AJ143" s="5">
        <f t="shared" si="114"/>
        <v>0</v>
      </c>
      <c r="AK143" s="5">
        <f t="shared" si="131"/>
        <v>0</v>
      </c>
      <c r="AL143" s="5">
        <f t="shared" si="132"/>
        <v>0</v>
      </c>
      <c r="AM143" s="199"/>
      <c r="AN143" s="16">
        <f t="shared" si="190"/>
        <v>12</v>
      </c>
      <c r="AO143" s="17">
        <f t="shared" si="187"/>
        <v>6</v>
      </c>
      <c r="AP143" s="18">
        <f t="shared" ca="1" si="140"/>
        <v>48214</v>
      </c>
      <c r="AQ143" s="10">
        <f>IF(Dashboard!$S$20="Float",AQ142+Dashboard!$T$20/12,AQ142)</f>
        <v>4.4999999999999998E-2</v>
      </c>
      <c r="AR143" s="14">
        <f t="shared" si="133"/>
        <v>126</v>
      </c>
      <c r="AS143" s="5">
        <f t="shared" si="134"/>
        <v>2826513.7845184538</v>
      </c>
      <c r="AT143" s="5">
        <f t="shared" si="117"/>
        <v>-18117.071455543861</v>
      </c>
      <c r="AU143" s="5">
        <f t="shared" si="118"/>
        <v>-10599.426691944202</v>
      </c>
      <c r="AV143" s="5">
        <f t="shared" si="135"/>
        <v>-7517.6447635996592</v>
      </c>
      <c r="AW143" s="5">
        <f t="shared" si="136"/>
        <v>2818996.1397548541</v>
      </c>
      <c r="AX143" s="199"/>
    </row>
    <row r="144" spans="1:50">
      <c r="A144" s="73"/>
      <c r="B144" s="572"/>
      <c r="C144" s="16">
        <f t="shared" si="188"/>
        <v>11</v>
      </c>
      <c r="D144" s="17">
        <f t="shared" si="184"/>
        <v>7</v>
      </c>
      <c r="E144" s="18">
        <f t="shared" ca="1" si="137"/>
        <v>48245</v>
      </c>
      <c r="F144" s="10">
        <f>IF(Dashboard!$Q$5="Float",F143+Dashboard!$R$5/12,F143)</f>
        <v>0.04</v>
      </c>
      <c r="G144" s="14">
        <f t="shared" si="119"/>
        <v>127</v>
      </c>
      <c r="H144" s="5">
        <f t="shared" si="120"/>
        <v>2905663.449930829</v>
      </c>
      <c r="I144" s="5">
        <f t="shared" si="105"/>
        <v>-17903.073579954726</v>
      </c>
      <c r="J144" s="5">
        <f t="shared" si="106"/>
        <v>-9685.5448331027637</v>
      </c>
      <c r="K144" s="5">
        <f t="shared" si="121"/>
        <v>-8217.5287468519618</v>
      </c>
      <c r="L144" s="5">
        <f t="shared" si="122"/>
        <v>2897445.9211839768</v>
      </c>
      <c r="M144" s="199"/>
      <c r="N144" s="16">
        <f t="shared" ca="1" si="123"/>
        <v>0</v>
      </c>
      <c r="O144" s="508">
        <f t="shared" ca="1" si="107"/>
        <v>0</v>
      </c>
      <c r="P144" s="16">
        <f t="shared" ca="1" si="108"/>
        <v>0</v>
      </c>
      <c r="Q144" s="17">
        <f t="shared" si="185"/>
        <v>7</v>
      </c>
      <c r="R144" s="18">
        <f t="shared" si="138"/>
        <v>43647</v>
      </c>
      <c r="S144" s="10">
        <f t="shared" si="124"/>
        <v>0.04</v>
      </c>
      <c r="T144" s="14" t="str">
        <f t="shared" ca="1" si="125"/>
        <v>I/O</v>
      </c>
      <c r="U144" s="5">
        <f t="shared" ca="1" si="126"/>
        <v>500000</v>
      </c>
      <c r="V144" s="5">
        <f t="shared" ca="1" si="109"/>
        <v>-1666.6666666666667</v>
      </c>
      <c r="W144" s="5">
        <f t="shared" ca="1" si="110"/>
        <v>-1666.6666666666667</v>
      </c>
      <c r="X144" s="5">
        <f t="shared" ca="1" si="127"/>
        <v>0</v>
      </c>
      <c r="Y144" s="5">
        <f t="shared" ca="1" si="128"/>
        <v>500000</v>
      </c>
      <c r="Z144" s="199"/>
      <c r="AA144" s="16">
        <f t="shared" ca="1" si="116"/>
        <v>11</v>
      </c>
      <c r="AB144" s="508">
        <f t="shared" ca="1" si="111"/>
        <v>126</v>
      </c>
      <c r="AC144" s="16">
        <f t="shared" si="189"/>
        <v>11</v>
      </c>
      <c r="AD144" s="17">
        <f t="shared" si="186"/>
        <v>7</v>
      </c>
      <c r="AE144" s="18">
        <f t="shared" ca="1" si="139"/>
        <v>48245</v>
      </c>
      <c r="AF144" s="10">
        <f>IF(Dashboard!$R$24="Float",AF143+Dashboard!$R$24/12,AF143)</f>
        <v>0.06</v>
      </c>
      <c r="AG144" s="14">
        <f t="shared" si="129"/>
        <v>127</v>
      </c>
      <c r="AH144" s="5">
        <f t="shared" si="130"/>
        <v>0</v>
      </c>
      <c r="AI144" s="5">
        <f t="shared" si="113"/>
        <v>0</v>
      </c>
      <c r="AJ144" s="5">
        <f t="shared" si="114"/>
        <v>0</v>
      </c>
      <c r="AK144" s="5">
        <f t="shared" si="131"/>
        <v>0</v>
      </c>
      <c r="AL144" s="5">
        <f t="shared" si="132"/>
        <v>0</v>
      </c>
      <c r="AM144" s="199"/>
      <c r="AN144" s="16">
        <f t="shared" si="190"/>
        <v>12</v>
      </c>
      <c r="AO144" s="17">
        <f t="shared" si="187"/>
        <v>7</v>
      </c>
      <c r="AP144" s="18">
        <f t="shared" ca="1" si="140"/>
        <v>48245</v>
      </c>
      <c r="AQ144" s="10">
        <f>IF(Dashboard!$S$20="Float",AQ143+Dashboard!$T$20/12,AQ143)</f>
        <v>4.4999999999999998E-2</v>
      </c>
      <c r="AR144" s="14">
        <f t="shared" si="133"/>
        <v>127</v>
      </c>
      <c r="AS144" s="5">
        <f t="shared" si="134"/>
        <v>2818996.1397548541</v>
      </c>
      <c r="AT144" s="5">
        <f t="shared" si="117"/>
        <v>-18117.071455543857</v>
      </c>
      <c r="AU144" s="5">
        <f t="shared" si="118"/>
        <v>-10571.235524080703</v>
      </c>
      <c r="AV144" s="5">
        <f t="shared" si="135"/>
        <v>-7545.8359314631543</v>
      </c>
      <c r="AW144" s="5">
        <f t="shared" si="136"/>
        <v>2811450.303823391</v>
      </c>
      <c r="AX144" s="199"/>
    </row>
    <row r="145" spans="1:50">
      <c r="A145" s="73"/>
      <c r="B145" s="572"/>
      <c r="C145" s="16">
        <f t="shared" si="188"/>
        <v>11</v>
      </c>
      <c r="D145" s="17">
        <f t="shared" si="184"/>
        <v>8</v>
      </c>
      <c r="E145" s="18">
        <f t="shared" ca="1" si="137"/>
        <v>48274</v>
      </c>
      <c r="F145" s="10">
        <f>IF(Dashboard!$Q$5="Float",F144+Dashboard!$R$5/12,F144)</f>
        <v>0.04</v>
      </c>
      <c r="G145" s="14">
        <f t="shared" si="119"/>
        <v>128</v>
      </c>
      <c r="H145" s="5">
        <f t="shared" si="120"/>
        <v>2897445.9211839768</v>
      </c>
      <c r="I145" s="5">
        <f t="shared" si="105"/>
        <v>-17903.073579954726</v>
      </c>
      <c r="J145" s="5">
        <f t="shared" si="106"/>
        <v>-9658.1530706132562</v>
      </c>
      <c r="K145" s="5">
        <f t="shared" si="121"/>
        <v>-8244.9205093414694</v>
      </c>
      <c r="L145" s="5">
        <f t="shared" si="122"/>
        <v>2889201.0006746352</v>
      </c>
      <c r="M145" s="199"/>
      <c r="N145" s="16">
        <f t="shared" ca="1" si="123"/>
        <v>0</v>
      </c>
      <c r="O145" s="508">
        <f t="shared" ca="1" si="107"/>
        <v>0</v>
      </c>
      <c r="P145" s="16">
        <f t="shared" ca="1" si="108"/>
        <v>0</v>
      </c>
      <c r="Q145" s="17">
        <f t="shared" si="185"/>
        <v>8</v>
      </c>
      <c r="R145" s="18">
        <f t="shared" si="138"/>
        <v>43678</v>
      </c>
      <c r="S145" s="10">
        <f t="shared" si="124"/>
        <v>0.04</v>
      </c>
      <c r="T145" s="14" t="str">
        <f t="shared" ca="1" si="125"/>
        <v>I/O</v>
      </c>
      <c r="U145" s="5">
        <f t="shared" ca="1" si="126"/>
        <v>500000</v>
      </c>
      <c r="V145" s="5">
        <f t="shared" ca="1" si="109"/>
        <v>-1666.6666666666667</v>
      </c>
      <c r="W145" s="5">
        <f t="shared" ca="1" si="110"/>
        <v>-1666.6666666666667</v>
      </c>
      <c r="X145" s="5">
        <f t="shared" ca="1" si="127"/>
        <v>0</v>
      </c>
      <c r="Y145" s="5">
        <f t="shared" ca="1" si="128"/>
        <v>500000</v>
      </c>
      <c r="Z145" s="199"/>
      <c r="AA145" s="16">
        <f t="shared" ca="1" si="116"/>
        <v>11</v>
      </c>
      <c r="AB145" s="508">
        <f t="shared" ca="1" si="111"/>
        <v>127</v>
      </c>
      <c r="AC145" s="16">
        <f t="shared" si="189"/>
        <v>11</v>
      </c>
      <c r="AD145" s="17">
        <f t="shared" si="186"/>
        <v>8</v>
      </c>
      <c r="AE145" s="18">
        <f t="shared" ca="1" si="139"/>
        <v>48274</v>
      </c>
      <c r="AF145" s="10">
        <f>IF(Dashboard!$R$24="Float",AF144+Dashboard!$R$24/12,AF144)</f>
        <v>0.06</v>
      </c>
      <c r="AG145" s="14">
        <f t="shared" si="129"/>
        <v>128</v>
      </c>
      <c r="AH145" s="5">
        <f t="shared" si="130"/>
        <v>0</v>
      </c>
      <c r="AI145" s="5">
        <f t="shared" si="113"/>
        <v>0</v>
      </c>
      <c r="AJ145" s="5">
        <f t="shared" si="114"/>
        <v>0</v>
      </c>
      <c r="AK145" s="5">
        <f t="shared" si="131"/>
        <v>0</v>
      </c>
      <c r="AL145" s="5">
        <f t="shared" si="132"/>
        <v>0</v>
      </c>
      <c r="AM145" s="199"/>
      <c r="AN145" s="16">
        <f t="shared" si="190"/>
        <v>12</v>
      </c>
      <c r="AO145" s="17">
        <f t="shared" si="187"/>
        <v>8</v>
      </c>
      <c r="AP145" s="18">
        <f t="shared" ca="1" si="140"/>
        <v>48274</v>
      </c>
      <c r="AQ145" s="10">
        <f>IF(Dashboard!$S$20="Float",AQ144+Dashboard!$T$20/12,AQ144)</f>
        <v>4.4999999999999998E-2</v>
      </c>
      <c r="AR145" s="14">
        <f t="shared" si="133"/>
        <v>128</v>
      </c>
      <c r="AS145" s="5">
        <f t="shared" si="134"/>
        <v>2811450.303823391</v>
      </c>
      <c r="AT145" s="5">
        <f t="shared" si="117"/>
        <v>-18117.071455543857</v>
      </c>
      <c r="AU145" s="5">
        <f t="shared" si="118"/>
        <v>-10542.938639337715</v>
      </c>
      <c r="AV145" s="5">
        <f t="shared" si="135"/>
        <v>-7574.1328162061418</v>
      </c>
      <c r="AW145" s="5">
        <f t="shared" si="136"/>
        <v>2803876.1710071848</v>
      </c>
      <c r="AX145" s="199"/>
    </row>
    <row r="146" spans="1:50">
      <c r="A146" s="73"/>
      <c r="B146" s="572"/>
      <c r="C146" s="16">
        <f t="shared" si="188"/>
        <v>11</v>
      </c>
      <c r="D146" s="17">
        <f t="shared" si="184"/>
        <v>9</v>
      </c>
      <c r="E146" s="18">
        <f t="shared" ca="1" si="137"/>
        <v>48305</v>
      </c>
      <c r="F146" s="10">
        <f>IF(Dashboard!$Q$5="Float",F145+Dashboard!$R$5/12,F145)</f>
        <v>0.04</v>
      </c>
      <c r="G146" s="14">
        <f t="shared" si="119"/>
        <v>129</v>
      </c>
      <c r="H146" s="5">
        <f t="shared" si="120"/>
        <v>2889201.0006746352</v>
      </c>
      <c r="I146" s="5">
        <f t="shared" ref="I146:I209" si="191">+IFERROR(IF(C146&gt;D$6,PMT(LOOKUP(C146,$C$18:$C$497,F$18:F$497)/12,D$5+1-G146,H146),-H146*LOOKUP(C146,C$18:C$497,F$18:F$497)/12),0)</f>
        <v>-17903.073579954722</v>
      </c>
      <c r="J146" s="5">
        <f t="shared" ref="J146:J209" si="192">-H146*LOOKUP(C146,C$18:C$497,F$18:F$497)/12</f>
        <v>-9630.6700022487839</v>
      </c>
      <c r="K146" s="5">
        <f t="shared" si="121"/>
        <v>-8272.403577705938</v>
      </c>
      <c r="L146" s="5">
        <f t="shared" si="122"/>
        <v>2880928.5970969293</v>
      </c>
      <c r="M146" s="199"/>
      <c r="N146" s="16">
        <f t="shared" ca="1" si="123"/>
        <v>0</v>
      </c>
      <c r="O146" s="508">
        <f t="shared" ref="O146:O209" ca="1" si="193">+IF(CDate&gt;=$R146,0,IF(O145&gt;0,O145+1,1))</f>
        <v>0</v>
      </c>
      <c r="P146" s="16">
        <f t="shared" ref="P146:P209" ca="1" si="194">+IFERROR(LOOKUP($R146,$E$18:$E$497,$C$18:$C$497),0)</f>
        <v>0</v>
      </c>
      <c r="Q146" s="17">
        <f t="shared" si="185"/>
        <v>9</v>
      </c>
      <c r="R146" s="18">
        <f t="shared" si="138"/>
        <v>43709</v>
      </c>
      <c r="S146" s="10">
        <f t="shared" si="124"/>
        <v>0.04</v>
      </c>
      <c r="T146" s="14" t="str">
        <f t="shared" ca="1" si="125"/>
        <v>I/O</v>
      </c>
      <c r="U146" s="5">
        <f t="shared" ca="1" si="126"/>
        <v>500000</v>
      </c>
      <c r="V146" s="5">
        <f t="shared" ref="V146:V209" ca="1" si="195">+IFERROR(IF(P146&gt;Q$6,PMT(LOOKUP(P146,$C$18:$C$497,S$18:S$497)/12,Q$5+1-T146,U146),-U146*LOOKUP(P146,P$18:P$497,S$18:S$497)/12),0)</f>
        <v>-1666.6666666666667</v>
      </c>
      <c r="W146" s="5">
        <f t="shared" ref="W146:W209" ca="1" si="196">-U146*LOOKUP(P146,P$18:P$497,S$18:S$497)/12</f>
        <v>-1666.6666666666667</v>
      </c>
      <c r="X146" s="5">
        <f t="shared" ca="1" si="127"/>
        <v>0</v>
      </c>
      <c r="Y146" s="5">
        <f t="shared" ca="1" si="128"/>
        <v>500000</v>
      </c>
      <c r="Z146" s="199"/>
      <c r="AA146" s="16">
        <f t="shared" ca="1" si="116"/>
        <v>11</v>
      </c>
      <c r="AB146" s="508">
        <f t="shared" ref="AB146:AB209" ca="1" si="197">+IF(CDate&gt;=$AE146,0,IF(AB145&gt;0,AB145+1,1))</f>
        <v>128</v>
      </c>
      <c r="AC146" s="16">
        <f t="shared" si="189"/>
        <v>11</v>
      </c>
      <c r="AD146" s="17">
        <f t="shared" si="186"/>
        <v>9</v>
      </c>
      <c r="AE146" s="18">
        <f t="shared" ca="1" si="139"/>
        <v>48305</v>
      </c>
      <c r="AF146" s="10">
        <f>IF(Dashboard!$R$24="Float",AF145+Dashboard!$R$24/12,AF145)</f>
        <v>0.06</v>
      </c>
      <c r="AG146" s="14">
        <f t="shared" si="129"/>
        <v>129</v>
      </c>
      <c r="AH146" s="5">
        <f t="shared" si="130"/>
        <v>0</v>
      </c>
      <c r="AI146" s="5">
        <f t="shared" ref="AI146:AI209" si="198">+IFERROR(IF(AC146&gt;AD$6,PMT(LOOKUP(AC146,$C$18:$C$497,AF$18:AF$497)/12,AD$5+1-AG146,AH146),-AH146*LOOKUP(AC146,AC$18:AC$497,AF$18:AF$497)/12),0)</f>
        <v>0</v>
      </c>
      <c r="AJ146" s="5">
        <f t="shared" ref="AJ146:AJ209" si="199">-AH146*LOOKUP(AC146,AC$18:AC$497,AF$18:AF$497)/12</f>
        <v>0</v>
      </c>
      <c r="AK146" s="5">
        <f t="shared" si="131"/>
        <v>0</v>
      </c>
      <c r="AL146" s="5">
        <f t="shared" si="132"/>
        <v>0</v>
      </c>
      <c r="AM146" s="199"/>
      <c r="AN146" s="16">
        <f t="shared" si="190"/>
        <v>12</v>
      </c>
      <c r="AO146" s="17">
        <f t="shared" si="187"/>
        <v>9</v>
      </c>
      <c r="AP146" s="18">
        <f t="shared" ca="1" si="140"/>
        <v>48305</v>
      </c>
      <c r="AQ146" s="10">
        <f>IF(Dashboard!$S$20="Float",AQ145+Dashboard!$T$20/12,AQ145)</f>
        <v>4.4999999999999998E-2</v>
      </c>
      <c r="AR146" s="14">
        <f t="shared" si="133"/>
        <v>129</v>
      </c>
      <c r="AS146" s="5">
        <f t="shared" si="134"/>
        <v>2803876.1710071848</v>
      </c>
      <c r="AT146" s="5">
        <f t="shared" si="117"/>
        <v>-18117.071455543861</v>
      </c>
      <c r="AU146" s="5">
        <f t="shared" si="118"/>
        <v>-10514.535641276942</v>
      </c>
      <c r="AV146" s="5">
        <f t="shared" si="135"/>
        <v>-7602.5358142669193</v>
      </c>
      <c r="AW146" s="5">
        <f t="shared" si="136"/>
        <v>2796273.6351929177</v>
      </c>
      <c r="AX146" s="199"/>
    </row>
    <row r="147" spans="1:50">
      <c r="A147" s="73"/>
      <c r="B147" s="572"/>
      <c r="C147" s="16">
        <f t="shared" si="188"/>
        <v>11</v>
      </c>
      <c r="D147" s="17">
        <f t="shared" si="184"/>
        <v>10</v>
      </c>
      <c r="E147" s="18">
        <f t="shared" ca="1" si="137"/>
        <v>48335</v>
      </c>
      <c r="F147" s="10">
        <f>IF(Dashboard!$Q$5="Float",F146+Dashboard!$R$5/12,F146)</f>
        <v>0.04</v>
      </c>
      <c r="G147" s="14">
        <f t="shared" si="119"/>
        <v>130</v>
      </c>
      <c r="H147" s="5">
        <f t="shared" si="120"/>
        <v>2880928.5970969293</v>
      </c>
      <c r="I147" s="5">
        <f t="shared" si="191"/>
        <v>-17903.073579954722</v>
      </c>
      <c r="J147" s="5">
        <f t="shared" si="192"/>
        <v>-9603.095323656431</v>
      </c>
      <c r="K147" s="5">
        <f t="shared" si="121"/>
        <v>-8299.9782562982909</v>
      </c>
      <c r="L147" s="5">
        <f t="shared" si="122"/>
        <v>2872628.6188406311</v>
      </c>
      <c r="M147" s="199"/>
      <c r="N147" s="16">
        <f t="shared" ca="1" si="123"/>
        <v>0</v>
      </c>
      <c r="O147" s="508">
        <f t="shared" ca="1" si="193"/>
        <v>0</v>
      </c>
      <c r="P147" s="16">
        <f t="shared" ca="1" si="194"/>
        <v>0</v>
      </c>
      <c r="Q147" s="17">
        <f t="shared" si="185"/>
        <v>10</v>
      </c>
      <c r="R147" s="18">
        <f t="shared" si="138"/>
        <v>43739</v>
      </c>
      <c r="S147" s="10">
        <f t="shared" si="124"/>
        <v>0.04</v>
      </c>
      <c r="T147" s="14" t="str">
        <f t="shared" ca="1" si="125"/>
        <v>I/O</v>
      </c>
      <c r="U147" s="5">
        <f t="shared" ca="1" si="126"/>
        <v>500000</v>
      </c>
      <c r="V147" s="5">
        <f t="shared" ca="1" si="195"/>
        <v>-1666.6666666666667</v>
      </c>
      <c r="W147" s="5">
        <f t="shared" ca="1" si="196"/>
        <v>-1666.6666666666667</v>
      </c>
      <c r="X147" s="5">
        <f t="shared" ca="1" si="127"/>
        <v>0</v>
      </c>
      <c r="Y147" s="5">
        <f t="shared" ca="1" si="128"/>
        <v>500000</v>
      </c>
      <c r="Z147" s="199"/>
      <c r="AA147" s="16">
        <f t="shared" ref="AA147:AA210" ca="1" si="200">+ROUNDUP(AB147/12,0)</f>
        <v>11</v>
      </c>
      <c r="AB147" s="508">
        <f t="shared" ca="1" si="197"/>
        <v>129</v>
      </c>
      <c r="AC147" s="16">
        <f t="shared" si="189"/>
        <v>11</v>
      </c>
      <c r="AD147" s="17">
        <f t="shared" si="186"/>
        <v>10</v>
      </c>
      <c r="AE147" s="18">
        <f t="shared" ca="1" si="139"/>
        <v>48335</v>
      </c>
      <c r="AF147" s="10">
        <f>IF(Dashboard!$R$24="Float",AF146+Dashboard!$R$24/12,AF146)</f>
        <v>0.06</v>
      </c>
      <c r="AG147" s="14">
        <f t="shared" si="129"/>
        <v>130</v>
      </c>
      <c r="AH147" s="5">
        <f t="shared" si="130"/>
        <v>0</v>
      </c>
      <c r="AI147" s="5">
        <f t="shared" si="198"/>
        <v>0</v>
      </c>
      <c r="AJ147" s="5">
        <f t="shared" si="199"/>
        <v>0</v>
      </c>
      <c r="AK147" s="5">
        <f t="shared" si="131"/>
        <v>0</v>
      </c>
      <c r="AL147" s="5">
        <f t="shared" si="132"/>
        <v>0</v>
      </c>
      <c r="AM147" s="199"/>
      <c r="AN147" s="16">
        <f t="shared" si="190"/>
        <v>12</v>
      </c>
      <c r="AO147" s="17">
        <f t="shared" si="187"/>
        <v>10</v>
      </c>
      <c r="AP147" s="18">
        <f t="shared" ca="1" si="140"/>
        <v>48335</v>
      </c>
      <c r="AQ147" s="10">
        <f>IF(Dashboard!$S$20="Float",AQ146+Dashboard!$T$20/12,AQ146)</f>
        <v>4.4999999999999998E-2</v>
      </c>
      <c r="AR147" s="14">
        <f t="shared" si="133"/>
        <v>130</v>
      </c>
      <c r="AS147" s="5">
        <f t="shared" si="134"/>
        <v>2796273.6351929177</v>
      </c>
      <c r="AT147" s="5">
        <f t="shared" ref="AT147:AT210" si="201">+IFERROR(IF(AN147&gt;AO$6+$AT$5-1,PMT(LOOKUP(AN147,$AT$5:$AT$15,$AU$5:$AU$15)/12,$AO$5+1-AR147,AS147),-AS147*LOOKUP(AN147,AN$18:AN$497,AQ$18:AQ$497)/12),0)</f>
        <v>-18117.071455543857</v>
      </c>
      <c r="AU147" s="5">
        <f t="shared" ref="AU147:AU210" si="202">-AS147*LOOKUP(AN147,$AT$5:$AT$15,$AU$5:$AU$15)/12</f>
        <v>-10486.02613197344</v>
      </c>
      <c r="AV147" s="5">
        <f t="shared" si="135"/>
        <v>-7631.0453235704172</v>
      </c>
      <c r="AW147" s="5">
        <f t="shared" si="136"/>
        <v>2788642.5898693474</v>
      </c>
      <c r="AX147" s="199"/>
    </row>
    <row r="148" spans="1:50">
      <c r="A148" s="73"/>
      <c r="B148" s="572"/>
      <c r="C148" s="16">
        <f t="shared" si="188"/>
        <v>11</v>
      </c>
      <c r="D148" s="17">
        <f t="shared" si="184"/>
        <v>11</v>
      </c>
      <c r="E148" s="18">
        <f t="shared" ca="1" si="137"/>
        <v>48366</v>
      </c>
      <c r="F148" s="10">
        <f>IF(Dashboard!$Q$5="Float",F147+Dashboard!$R$5/12,F147)</f>
        <v>0.04</v>
      </c>
      <c r="G148" s="14">
        <f t="shared" ref="G148:G211" si="203">+IF(G147="I/O",IF(C148&lt;=D$6,"I/O",1),G147+1)</f>
        <v>131</v>
      </c>
      <c r="H148" s="5">
        <f t="shared" ref="H148:H211" si="204">+L147</f>
        <v>2872628.6188406311</v>
      </c>
      <c r="I148" s="5">
        <f t="shared" si="191"/>
        <v>-17903.073579954722</v>
      </c>
      <c r="J148" s="5">
        <f t="shared" si="192"/>
        <v>-9575.4287294687711</v>
      </c>
      <c r="K148" s="5">
        <f t="shared" ref="K148:K211" si="205">+I148-J148</f>
        <v>-8327.6448504859509</v>
      </c>
      <c r="L148" s="5">
        <f t="shared" ref="L148:L211" si="206">IFERROR(H148+K148,0)</f>
        <v>2864300.9739901451</v>
      </c>
      <c r="M148" s="199"/>
      <c r="N148" s="16">
        <f t="shared" ref="N148:N211" ca="1" si="207">+ROUNDUP(O148/12,0)</f>
        <v>0</v>
      </c>
      <c r="O148" s="508">
        <f t="shared" ca="1" si="193"/>
        <v>0</v>
      </c>
      <c r="P148" s="16">
        <f t="shared" ca="1" si="194"/>
        <v>0</v>
      </c>
      <c r="Q148" s="17">
        <f t="shared" si="185"/>
        <v>11</v>
      </c>
      <c r="R148" s="18">
        <f t="shared" si="138"/>
        <v>43770</v>
      </c>
      <c r="S148" s="10">
        <f t="shared" ref="S148:S211" si="208">+S147</f>
        <v>0.04</v>
      </c>
      <c r="T148" s="14" t="str">
        <f t="shared" ref="T148:T211" ca="1" si="209">+IF(T147="I/O",IF(P148&lt;=Q$6,"I/O",1),T147+1)</f>
        <v>I/O</v>
      </c>
      <c r="U148" s="5">
        <f t="shared" ref="U148:U211" ca="1" si="210">+Y147</f>
        <v>500000</v>
      </c>
      <c r="V148" s="5">
        <f t="shared" ca="1" si="195"/>
        <v>-1666.6666666666667</v>
      </c>
      <c r="W148" s="5">
        <f t="shared" ca="1" si="196"/>
        <v>-1666.6666666666667</v>
      </c>
      <c r="X148" s="5">
        <f t="shared" ref="X148:X211" ca="1" si="211">+V148-W148</f>
        <v>0</v>
      </c>
      <c r="Y148" s="5">
        <f t="shared" ref="Y148:Y211" ca="1" si="212">IFERROR(U148+X148,0)</f>
        <v>500000</v>
      </c>
      <c r="Z148" s="199"/>
      <c r="AA148" s="16">
        <f t="shared" ca="1" si="200"/>
        <v>11</v>
      </c>
      <c r="AB148" s="508">
        <f t="shared" ca="1" si="197"/>
        <v>130</v>
      </c>
      <c r="AC148" s="16">
        <f t="shared" si="189"/>
        <v>11</v>
      </c>
      <c r="AD148" s="17">
        <f t="shared" si="186"/>
        <v>11</v>
      </c>
      <c r="AE148" s="18">
        <f t="shared" ca="1" si="139"/>
        <v>48366</v>
      </c>
      <c r="AF148" s="10">
        <f>IF(Dashboard!$R$24="Float",AF147+Dashboard!$R$24/12,AF147)</f>
        <v>0.06</v>
      </c>
      <c r="AG148" s="14">
        <f t="shared" ref="AG148:AG211" si="213">+IF(AG147="I/O",IF(AC148&lt;=AD$6,"I/O",1),AG147+1)</f>
        <v>131</v>
      </c>
      <c r="AH148" s="5">
        <f t="shared" ref="AH148:AH211" si="214">+AL147</f>
        <v>0</v>
      </c>
      <c r="AI148" s="5">
        <f t="shared" si="198"/>
        <v>0</v>
      </c>
      <c r="AJ148" s="5">
        <f t="shared" si="199"/>
        <v>0</v>
      </c>
      <c r="AK148" s="5">
        <f t="shared" ref="AK148:AK211" si="215">+AI148-AJ148</f>
        <v>0</v>
      </c>
      <c r="AL148" s="5">
        <f t="shared" ref="AL148:AL211" si="216">IFERROR(AH148+AK148,0)</f>
        <v>0</v>
      </c>
      <c r="AM148" s="199"/>
      <c r="AN148" s="16">
        <f t="shared" si="190"/>
        <v>12</v>
      </c>
      <c r="AO148" s="17">
        <f t="shared" si="187"/>
        <v>11</v>
      </c>
      <c r="AP148" s="18">
        <f t="shared" ca="1" si="140"/>
        <v>48366</v>
      </c>
      <c r="AQ148" s="10">
        <f>IF(Dashboard!$S$20="Float",AQ147+Dashboard!$T$20/12,AQ147)</f>
        <v>4.4999999999999998E-2</v>
      </c>
      <c r="AR148" s="14">
        <f t="shared" ref="AR148:AR211" si="217">+IF(AR147="I/O",IF(AN148&lt;=AO$6,"I/O",1),AR147+1)</f>
        <v>131</v>
      </c>
      <c r="AS148" s="5">
        <f t="shared" ref="AS148:AS211" si="218">+AW147</f>
        <v>2788642.5898693474</v>
      </c>
      <c r="AT148" s="5">
        <f t="shared" si="201"/>
        <v>-18117.071455543857</v>
      </c>
      <c r="AU148" s="5">
        <f t="shared" si="202"/>
        <v>-10457.409712010052</v>
      </c>
      <c r="AV148" s="5">
        <f t="shared" ref="AV148:AV211" si="219">+AT148-AU148</f>
        <v>-7659.6617435338048</v>
      </c>
      <c r="AW148" s="5">
        <f t="shared" ref="AW148:AW211" si="220">IFERROR(AS148+AV148,0)</f>
        <v>2780982.9281258136</v>
      </c>
      <c r="AX148" s="199"/>
    </row>
    <row r="149" spans="1:50">
      <c r="A149" s="73"/>
      <c r="B149" s="572"/>
      <c r="C149" s="16">
        <f t="shared" si="188"/>
        <v>11</v>
      </c>
      <c r="D149" s="17">
        <f t="shared" si="184"/>
        <v>12</v>
      </c>
      <c r="E149" s="18">
        <f t="shared" ref="E149:E212" ca="1" si="221">+EDATE(E148,1)</f>
        <v>48396</v>
      </c>
      <c r="F149" s="10">
        <f>IF(Dashboard!$Q$5="Float",F148+Dashboard!$R$5/12,F148)</f>
        <v>0.04</v>
      </c>
      <c r="G149" s="14">
        <f t="shared" si="203"/>
        <v>132</v>
      </c>
      <c r="H149" s="5">
        <f t="shared" si="204"/>
        <v>2864300.9739901451</v>
      </c>
      <c r="I149" s="5">
        <f t="shared" si="191"/>
        <v>-17903.073579954726</v>
      </c>
      <c r="J149" s="5">
        <f t="shared" si="192"/>
        <v>-9547.669913300484</v>
      </c>
      <c r="K149" s="5">
        <f t="shared" si="205"/>
        <v>-8355.4036666542415</v>
      </c>
      <c r="L149" s="5">
        <f t="shared" si="206"/>
        <v>2855945.570323491</v>
      </c>
      <c r="M149" s="199"/>
      <c r="N149" s="16">
        <f t="shared" ca="1" si="207"/>
        <v>0</v>
      </c>
      <c r="O149" s="508">
        <f t="shared" ca="1" si="193"/>
        <v>0</v>
      </c>
      <c r="P149" s="16">
        <f t="shared" ca="1" si="194"/>
        <v>0</v>
      </c>
      <c r="Q149" s="17">
        <f t="shared" si="185"/>
        <v>12</v>
      </c>
      <c r="R149" s="18">
        <f t="shared" ref="R149:R212" si="222">+EDATE(R148,1)</f>
        <v>43800</v>
      </c>
      <c r="S149" s="10">
        <f t="shared" si="208"/>
        <v>0.04</v>
      </c>
      <c r="T149" s="14" t="str">
        <f t="shared" ca="1" si="209"/>
        <v>I/O</v>
      </c>
      <c r="U149" s="5">
        <f t="shared" ca="1" si="210"/>
        <v>500000</v>
      </c>
      <c r="V149" s="5">
        <f t="shared" ca="1" si="195"/>
        <v>-1666.6666666666667</v>
      </c>
      <c r="W149" s="5">
        <f t="shared" ca="1" si="196"/>
        <v>-1666.6666666666667</v>
      </c>
      <c r="X149" s="5">
        <f t="shared" ca="1" si="211"/>
        <v>0</v>
      </c>
      <c r="Y149" s="5">
        <f t="shared" ca="1" si="212"/>
        <v>500000</v>
      </c>
      <c r="Z149" s="199"/>
      <c r="AA149" s="16">
        <f t="shared" ca="1" si="200"/>
        <v>11</v>
      </c>
      <c r="AB149" s="508">
        <f t="shared" ca="1" si="197"/>
        <v>131</v>
      </c>
      <c r="AC149" s="16">
        <f t="shared" si="189"/>
        <v>11</v>
      </c>
      <c r="AD149" s="17">
        <f t="shared" si="186"/>
        <v>12</v>
      </c>
      <c r="AE149" s="18">
        <f t="shared" ref="AE149:AE212" ca="1" si="223">+EDATE(AE148,1)</f>
        <v>48396</v>
      </c>
      <c r="AF149" s="10">
        <f>IF(Dashboard!$R$24="Float",AF148+Dashboard!$R$24/12,AF148)</f>
        <v>0.06</v>
      </c>
      <c r="AG149" s="14">
        <f t="shared" si="213"/>
        <v>132</v>
      </c>
      <c r="AH149" s="5">
        <f t="shared" si="214"/>
        <v>0</v>
      </c>
      <c r="AI149" s="5">
        <f t="shared" si="198"/>
        <v>0</v>
      </c>
      <c r="AJ149" s="5">
        <f t="shared" si="199"/>
        <v>0</v>
      </c>
      <c r="AK149" s="5">
        <f t="shared" si="215"/>
        <v>0</v>
      </c>
      <c r="AL149" s="5">
        <f t="shared" si="216"/>
        <v>0</v>
      </c>
      <c r="AM149" s="199"/>
      <c r="AN149" s="16">
        <f t="shared" si="190"/>
        <v>12</v>
      </c>
      <c r="AO149" s="17">
        <f t="shared" si="187"/>
        <v>12</v>
      </c>
      <c r="AP149" s="18">
        <f t="shared" ref="AP149:AP212" ca="1" si="224">+EDATE(AP148,1)</f>
        <v>48396</v>
      </c>
      <c r="AQ149" s="10">
        <f>IF(Dashboard!$S$20="Float",AQ148+Dashboard!$T$20/12,AQ148)</f>
        <v>4.4999999999999998E-2</v>
      </c>
      <c r="AR149" s="14">
        <f t="shared" si="217"/>
        <v>132</v>
      </c>
      <c r="AS149" s="5">
        <f t="shared" si="218"/>
        <v>2780982.9281258136</v>
      </c>
      <c r="AT149" s="5">
        <f t="shared" si="201"/>
        <v>-18117.071455543854</v>
      </c>
      <c r="AU149" s="5">
        <f t="shared" si="202"/>
        <v>-10428.685980471801</v>
      </c>
      <c r="AV149" s="5">
        <f t="shared" si="219"/>
        <v>-7688.3854750720529</v>
      </c>
      <c r="AW149" s="5">
        <f t="shared" si="220"/>
        <v>2773294.5426507415</v>
      </c>
      <c r="AX149" s="199"/>
    </row>
    <row r="150" spans="1:50" ht="12.75" customHeight="1">
      <c r="A150" s="73"/>
      <c r="B150" s="570">
        <f>+C150</f>
        <v>12</v>
      </c>
      <c r="C150" s="200">
        <f t="shared" ref="C150" si="225">+C149+1</f>
        <v>12</v>
      </c>
      <c r="D150" s="201">
        <v>1</v>
      </c>
      <c r="E150" s="202">
        <f t="shared" ca="1" si="221"/>
        <v>48427</v>
      </c>
      <c r="F150" s="203">
        <f>IF(Dashboard!$Q$5="Float",F149+Dashboard!$R$5/12,F149)</f>
        <v>0.04</v>
      </c>
      <c r="G150" s="204">
        <f t="shared" si="203"/>
        <v>133</v>
      </c>
      <c r="H150" s="205">
        <f t="shared" si="204"/>
        <v>2855945.570323491</v>
      </c>
      <c r="I150" s="205">
        <f t="shared" si="191"/>
        <v>-17903.073579954726</v>
      </c>
      <c r="J150" s="205">
        <f t="shared" si="192"/>
        <v>-9519.818567744971</v>
      </c>
      <c r="K150" s="205">
        <f t="shared" si="205"/>
        <v>-8383.2550122097546</v>
      </c>
      <c r="L150" s="205">
        <f t="shared" si="206"/>
        <v>2847562.3153112815</v>
      </c>
      <c r="M150" s="199"/>
      <c r="N150" s="200">
        <f t="shared" ca="1" si="207"/>
        <v>0</v>
      </c>
      <c r="O150" s="509">
        <f t="shared" ca="1" si="193"/>
        <v>0</v>
      </c>
      <c r="P150" s="200">
        <f t="shared" ca="1" si="194"/>
        <v>0</v>
      </c>
      <c r="Q150" s="201">
        <v>1</v>
      </c>
      <c r="R150" s="202">
        <f t="shared" si="222"/>
        <v>43831</v>
      </c>
      <c r="S150" s="203">
        <f t="shared" si="208"/>
        <v>0.04</v>
      </c>
      <c r="T150" s="204" t="str">
        <f t="shared" ca="1" si="209"/>
        <v>I/O</v>
      </c>
      <c r="U150" s="205">
        <f t="shared" ca="1" si="210"/>
        <v>500000</v>
      </c>
      <c r="V150" s="205">
        <f t="shared" ca="1" si="195"/>
        <v>-1666.6666666666667</v>
      </c>
      <c r="W150" s="205">
        <f t="shared" ca="1" si="196"/>
        <v>-1666.6666666666667</v>
      </c>
      <c r="X150" s="205">
        <f t="shared" ca="1" si="211"/>
        <v>0</v>
      </c>
      <c r="Y150" s="205">
        <f t="shared" ca="1" si="212"/>
        <v>500000</v>
      </c>
      <c r="Z150" s="199"/>
      <c r="AA150" s="200">
        <f t="shared" ca="1" si="200"/>
        <v>11</v>
      </c>
      <c r="AB150" s="509">
        <f t="shared" ca="1" si="197"/>
        <v>132</v>
      </c>
      <c r="AC150" s="200">
        <f t="shared" ref="AC150" si="226">+AC149+1</f>
        <v>12</v>
      </c>
      <c r="AD150" s="201">
        <v>1</v>
      </c>
      <c r="AE150" s="202">
        <f t="shared" ca="1" si="223"/>
        <v>48427</v>
      </c>
      <c r="AF150" s="203">
        <f>IF(Dashboard!$R$24="Float",AF149+Dashboard!$R$24/12,AF149)</f>
        <v>0.06</v>
      </c>
      <c r="AG150" s="204">
        <f t="shared" si="213"/>
        <v>133</v>
      </c>
      <c r="AH150" s="205">
        <f t="shared" si="214"/>
        <v>0</v>
      </c>
      <c r="AI150" s="205">
        <f t="shared" si="198"/>
        <v>0</v>
      </c>
      <c r="AJ150" s="205">
        <f t="shared" si="199"/>
        <v>0</v>
      </c>
      <c r="AK150" s="205">
        <f t="shared" si="215"/>
        <v>0</v>
      </c>
      <c r="AL150" s="205">
        <f t="shared" si="216"/>
        <v>0</v>
      </c>
      <c r="AM150" s="199"/>
      <c r="AN150" s="200">
        <f t="shared" ref="AN150" si="227">+AN149+1</f>
        <v>13</v>
      </c>
      <c r="AO150" s="201">
        <v>1</v>
      </c>
      <c r="AP150" s="202">
        <f t="shared" ca="1" si="224"/>
        <v>48427</v>
      </c>
      <c r="AQ150" s="203">
        <f>IF(Dashboard!$S$20="Float",AQ149+Dashboard!$T$20/12,AQ149)</f>
        <v>4.4999999999999998E-2</v>
      </c>
      <c r="AR150" s="204">
        <f t="shared" si="217"/>
        <v>133</v>
      </c>
      <c r="AS150" s="205">
        <f t="shared" si="218"/>
        <v>2773294.5426507415</v>
      </c>
      <c r="AT150" s="205">
        <f t="shared" si="201"/>
        <v>-18117.071455543857</v>
      </c>
      <c r="AU150" s="205">
        <f t="shared" si="202"/>
        <v>-10399.854534940279</v>
      </c>
      <c r="AV150" s="205">
        <f t="shared" si="219"/>
        <v>-7717.2169206035778</v>
      </c>
      <c r="AW150" s="205">
        <f t="shared" si="220"/>
        <v>2765577.325730138</v>
      </c>
      <c r="AX150" s="199"/>
    </row>
    <row r="151" spans="1:50">
      <c r="A151" s="73"/>
      <c r="B151" s="570"/>
      <c r="C151" s="200">
        <f>+C150</f>
        <v>12</v>
      </c>
      <c r="D151" s="201">
        <f>+D150+1</f>
        <v>2</v>
      </c>
      <c r="E151" s="202">
        <f t="shared" ca="1" si="221"/>
        <v>48458</v>
      </c>
      <c r="F151" s="203">
        <f>IF(Dashboard!$Q$5="Float",F150+Dashboard!$R$5/12,F150)</f>
        <v>0.04</v>
      </c>
      <c r="G151" s="204">
        <f t="shared" si="203"/>
        <v>134</v>
      </c>
      <c r="H151" s="205">
        <f t="shared" si="204"/>
        <v>2847562.3153112815</v>
      </c>
      <c r="I151" s="205">
        <f t="shared" si="191"/>
        <v>-17903.073579954726</v>
      </c>
      <c r="J151" s="205">
        <f t="shared" si="192"/>
        <v>-9491.8743843709381</v>
      </c>
      <c r="K151" s="205">
        <f t="shared" si="205"/>
        <v>-8411.1991955837875</v>
      </c>
      <c r="L151" s="205">
        <f t="shared" si="206"/>
        <v>2839151.1161156977</v>
      </c>
      <c r="M151" s="199"/>
      <c r="N151" s="200">
        <f t="shared" ca="1" si="207"/>
        <v>0</v>
      </c>
      <c r="O151" s="509">
        <f t="shared" ca="1" si="193"/>
        <v>0</v>
      </c>
      <c r="P151" s="200">
        <f t="shared" ca="1" si="194"/>
        <v>0</v>
      </c>
      <c r="Q151" s="201">
        <f>+Q150+1</f>
        <v>2</v>
      </c>
      <c r="R151" s="202">
        <f t="shared" si="222"/>
        <v>43862</v>
      </c>
      <c r="S151" s="203">
        <f t="shared" si="208"/>
        <v>0.04</v>
      </c>
      <c r="T151" s="204" t="str">
        <f t="shared" ca="1" si="209"/>
        <v>I/O</v>
      </c>
      <c r="U151" s="205">
        <f t="shared" ca="1" si="210"/>
        <v>500000</v>
      </c>
      <c r="V151" s="205">
        <f t="shared" ca="1" si="195"/>
        <v>-1666.6666666666667</v>
      </c>
      <c r="W151" s="205">
        <f t="shared" ca="1" si="196"/>
        <v>-1666.6666666666667</v>
      </c>
      <c r="X151" s="205">
        <f t="shared" ca="1" si="211"/>
        <v>0</v>
      </c>
      <c r="Y151" s="205">
        <f t="shared" ca="1" si="212"/>
        <v>500000</v>
      </c>
      <c r="Z151" s="199"/>
      <c r="AA151" s="200">
        <f t="shared" ca="1" si="200"/>
        <v>12</v>
      </c>
      <c r="AB151" s="509">
        <f t="shared" ca="1" si="197"/>
        <v>133</v>
      </c>
      <c r="AC151" s="200">
        <f>+AC150</f>
        <v>12</v>
      </c>
      <c r="AD151" s="201">
        <f>+AD150+1</f>
        <v>2</v>
      </c>
      <c r="AE151" s="202">
        <f t="shared" ca="1" si="223"/>
        <v>48458</v>
      </c>
      <c r="AF151" s="203">
        <f>IF(Dashboard!$R$24="Float",AF150+Dashboard!$R$24/12,AF150)</f>
        <v>0.06</v>
      </c>
      <c r="AG151" s="204">
        <f t="shared" si="213"/>
        <v>134</v>
      </c>
      <c r="AH151" s="205">
        <f t="shared" si="214"/>
        <v>0</v>
      </c>
      <c r="AI151" s="205">
        <f t="shared" si="198"/>
        <v>0</v>
      </c>
      <c r="AJ151" s="205">
        <f t="shared" si="199"/>
        <v>0</v>
      </c>
      <c r="AK151" s="205">
        <f t="shared" si="215"/>
        <v>0</v>
      </c>
      <c r="AL151" s="205">
        <f t="shared" si="216"/>
        <v>0</v>
      </c>
      <c r="AM151" s="199"/>
      <c r="AN151" s="200">
        <f>+AN150</f>
        <v>13</v>
      </c>
      <c r="AO151" s="201">
        <f>+AO150+1</f>
        <v>2</v>
      </c>
      <c r="AP151" s="202">
        <f t="shared" ca="1" si="224"/>
        <v>48458</v>
      </c>
      <c r="AQ151" s="203">
        <f>IF(Dashboard!$S$20="Float",AQ150+Dashboard!$T$20/12,AQ150)</f>
        <v>4.4999999999999998E-2</v>
      </c>
      <c r="AR151" s="204">
        <f t="shared" si="217"/>
        <v>134</v>
      </c>
      <c r="AS151" s="205">
        <f t="shared" si="218"/>
        <v>2765577.325730138</v>
      </c>
      <c r="AT151" s="205">
        <f t="shared" si="201"/>
        <v>-18117.071455543857</v>
      </c>
      <c r="AU151" s="205">
        <f t="shared" si="202"/>
        <v>-10370.914971488017</v>
      </c>
      <c r="AV151" s="205">
        <f t="shared" si="219"/>
        <v>-7746.1564840558403</v>
      </c>
      <c r="AW151" s="205">
        <f t="shared" si="220"/>
        <v>2757831.1692460822</v>
      </c>
      <c r="AX151" s="199"/>
    </row>
    <row r="152" spans="1:50">
      <c r="A152" s="73"/>
      <c r="B152" s="570"/>
      <c r="C152" s="200">
        <f>+C151</f>
        <v>12</v>
      </c>
      <c r="D152" s="201">
        <f>+D151+1</f>
        <v>3</v>
      </c>
      <c r="E152" s="202">
        <f t="shared" ca="1" si="221"/>
        <v>48488</v>
      </c>
      <c r="F152" s="203">
        <f>IF(Dashboard!$Q$5="Float",F151+Dashboard!$R$5/12,F151)</f>
        <v>0.04</v>
      </c>
      <c r="G152" s="204">
        <f t="shared" si="203"/>
        <v>135</v>
      </c>
      <c r="H152" s="205">
        <f t="shared" si="204"/>
        <v>2839151.1161156977</v>
      </c>
      <c r="I152" s="205">
        <f t="shared" si="191"/>
        <v>-17903.073579954722</v>
      </c>
      <c r="J152" s="205">
        <f t="shared" si="192"/>
        <v>-9463.837053718993</v>
      </c>
      <c r="K152" s="205">
        <f t="shared" si="205"/>
        <v>-8439.2365262357289</v>
      </c>
      <c r="L152" s="205">
        <f t="shared" si="206"/>
        <v>2830711.8795894617</v>
      </c>
      <c r="M152" s="199"/>
      <c r="N152" s="200">
        <f t="shared" ca="1" si="207"/>
        <v>0</v>
      </c>
      <c r="O152" s="509">
        <f t="shared" ca="1" si="193"/>
        <v>0</v>
      </c>
      <c r="P152" s="200">
        <f t="shared" ca="1" si="194"/>
        <v>0</v>
      </c>
      <c r="Q152" s="201">
        <f>+Q151+1</f>
        <v>3</v>
      </c>
      <c r="R152" s="202">
        <f t="shared" si="222"/>
        <v>43891</v>
      </c>
      <c r="S152" s="203">
        <f t="shared" si="208"/>
        <v>0.04</v>
      </c>
      <c r="T152" s="204" t="str">
        <f t="shared" ca="1" si="209"/>
        <v>I/O</v>
      </c>
      <c r="U152" s="205">
        <f t="shared" ca="1" si="210"/>
        <v>500000</v>
      </c>
      <c r="V152" s="205">
        <f t="shared" ca="1" si="195"/>
        <v>-1666.6666666666667</v>
      </c>
      <c r="W152" s="205">
        <f t="shared" ca="1" si="196"/>
        <v>-1666.6666666666667</v>
      </c>
      <c r="X152" s="205">
        <f t="shared" ca="1" si="211"/>
        <v>0</v>
      </c>
      <c r="Y152" s="205">
        <f t="shared" ca="1" si="212"/>
        <v>500000</v>
      </c>
      <c r="Z152" s="199"/>
      <c r="AA152" s="200">
        <f t="shared" ca="1" si="200"/>
        <v>12</v>
      </c>
      <c r="AB152" s="509">
        <f t="shared" ca="1" si="197"/>
        <v>134</v>
      </c>
      <c r="AC152" s="200">
        <f>+AC151</f>
        <v>12</v>
      </c>
      <c r="AD152" s="201">
        <f>+AD151+1</f>
        <v>3</v>
      </c>
      <c r="AE152" s="202">
        <f t="shared" ca="1" si="223"/>
        <v>48488</v>
      </c>
      <c r="AF152" s="203">
        <f>IF(Dashboard!$R$24="Float",AF151+Dashboard!$R$24/12,AF151)</f>
        <v>0.06</v>
      </c>
      <c r="AG152" s="204">
        <f t="shared" si="213"/>
        <v>135</v>
      </c>
      <c r="AH152" s="205">
        <f t="shared" si="214"/>
        <v>0</v>
      </c>
      <c r="AI152" s="205">
        <f t="shared" si="198"/>
        <v>0</v>
      </c>
      <c r="AJ152" s="205">
        <f t="shared" si="199"/>
        <v>0</v>
      </c>
      <c r="AK152" s="205">
        <f t="shared" si="215"/>
        <v>0</v>
      </c>
      <c r="AL152" s="205">
        <f t="shared" si="216"/>
        <v>0</v>
      </c>
      <c r="AM152" s="199"/>
      <c r="AN152" s="200">
        <f>+AN151</f>
        <v>13</v>
      </c>
      <c r="AO152" s="201">
        <f>+AO151+1</f>
        <v>3</v>
      </c>
      <c r="AP152" s="202">
        <f t="shared" ca="1" si="224"/>
        <v>48488</v>
      </c>
      <c r="AQ152" s="203">
        <f>IF(Dashboard!$S$20="Float",AQ151+Dashboard!$T$20/12,AQ151)</f>
        <v>4.4999999999999998E-2</v>
      </c>
      <c r="AR152" s="204">
        <f t="shared" si="217"/>
        <v>135</v>
      </c>
      <c r="AS152" s="205">
        <f t="shared" si="218"/>
        <v>2757831.1692460822</v>
      </c>
      <c r="AT152" s="205">
        <f t="shared" si="201"/>
        <v>-18117.071455543861</v>
      </c>
      <c r="AU152" s="205">
        <f t="shared" si="202"/>
        <v>-10341.866884672809</v>
      </c>
      <c r="AV152" s="205">
        <f t="shared" si="219"/>
        <v>-7775.2045708710521</v>
      </c>
      <c r="AW152" s="205">
        <f t="shared" si="220"/>
        <v>2750055.9646752113</v>
      </c>
      <c r="AX152" s="199"/>
    </row>
    <row r="153" spans="1:50">
      <c r="A153" s="73"/>
      <c r="B153" s="570"/>
      <c r="C153" s="200">
        <f>+C152</f>
        <v>12</v>
      </c>
      <c r="D153" s="201">
        <f t="shared" ref="D153:D161" si="228">+D152+1</f>
        <v>4</v>
      </c>
      <c r="E153" s="202">
        <f t="shared" ca="1" si="221"/>
        <v>48519</v>
      </c>
      <c r="F153" s="203">
        <f>IF(Dashboard!$Q$5="Float",F152+Dashboard!$R$5/12,F152)</f>
        <v>0.04</v>
      </c>
      <c r="G153" s="204">
        <f t="shared" si="203"/>
        <v>136</v>
      </c>
      <c r="H153" s="205">
        <f t="shared" si="204"/>
        <v>2830711.8795894617</v>
      </c>
      <c r="I153" s="205">
        <f t="shared" si="191"/>
        <v>-17903.073579954726</v>
      </c>
      <c r="J153" s="205">
        <f t="shared" si="192"/>
        <v>-9435.7062652982058</v>
      </c>
      <c r="K153" s="205">
        <f t="shared" si="205"/>
        <v>-8467.3673146565197</v>
      </c>
      <c r="L153" s="205">
        <f t="shared" si="206"/>
        <v>2822244.512274805</v>
      </c>
      <c r="M153" s="199"/>
      <c r="N153" s="200">
        <f t="shared" ca="1" si="207"/>
        <v>0</v>
      </c>
      <c r="O153" s="509">
        <f t="shared" ca="1" si="193"/>
        <v>0</v>
      </c>
      <c r="P153" s="200">
        <f t="shared" ca="1" si="194"/>
        <v>0</v>
      </c>
      <c r="Q153" s="201">
        <f t="shared" ref="Q153:Q161" si="229">+Q152+1</f>
        <v>4</v>
      </c>
      <c r="R153" s="202">
        <f t="shared" si="222"/>
        <v>43922</v>
      </c>
      <c r="S153" s="203">
        <f t="shared" si="208"/>
        <v>0.04</v>
      </c>
      <c r="T153" s="204" t="str">
        <f t="shared" ca="1" si="209"/>
        <v>I/O</v>
      </c>
      <c r="U153" s="205">
        <f t="shared" ca="1" si="210"/>
        <v>500000</v>
      </c>
      <c r="V153" s="205">
        <f t="shared" ca="1" si="195"/>
        <v>-1666.6666666666667</v>
      </c>
      <c r="W153" s="205">
        <f t="shared" ca="1" si="196"/>
        <v>-1666.6666666666667</v>
      </c>
      <c r="X153" s="205">
        <f t="shared" ca="1" si="211"/>
        <v>0</v>
      </c>
      <c r="Y153" s="205">
        <f t="shared" ca="1" si="212"/>
        <v>500000</v>
      </c>
      <c r="Z153" s="199"/>
      <c r="AA153" s="200">
        <f t="shared" ca="1" si="200"/>
        <v>12</v>
      </c>
      <c r="AB153" s="509">
        <f t="shared" ca="1" si="197"/>
        <v>135</v>
      </c>
      <c r="AC153" s="200">
        <f>+AC152</f>
        <v>12</v>
      </c>
      <c r="AD153" s="201">
        <f t="shared" ref="AD153:AD161" si="230">+AD152+1</f>
        <v>4</v>
      </c>
      <c r="AE153" s="202">
        <f t="shared" ca="1" si="223"/>
        <v>48519</v>
      </c>
      <c r="AF153" s="203">
        <f>IF(Dashboard!$R$24="Float",AF152+Dashboard!$R$24/12,AF152)</f>
        <v>0.06</v>
      </c>
      <c r="AG153" s="204">
        <f t="shared" si="213"/>
        <v>136</v>
      </c>
      <c r="AH153" s="205">
        <f t="shared" si="214"/>
        <v>0</v>
      </c>
      <c r="AI153" s="205">
        <f t="shared" si="198"/>
        <v>0</v>
      </c>
      <c r="AJ153" s="205">
        <f t="shared" si="199"/>
        <v>0</v>
      </c>
      <c r="AK153" s="205">
        <f t="shared" si="215"/>
        <v>0</v>
      </c>
      <c r="AL153" s="205">
        <f t="shared" si="216"/>
        <v>0</v>
      </c>
      <c r="AM153" s="199"/>
      <c r="AN153" s="200">
        <f>+AN152</f>
        <v>13</v>
      </c>
      <c r="AO153" s="201">
        <f t="shared" ref="AO153:AO161" si="231">+AO152+1</f>
        <v>4</v>
      </c>
      <c r="AP153" s="202">
        <f t="shared" ca="1" si="224"/>
        <v>48519</v>
      </c>
      <c r="AQ153" s="203">
        <f>IF(Dashboard!$S$20="Float",AQ152+Dashboard!$T$20/12,AQ152)</f>
        <v>4.4999999999999998E-2</v>
      </c>
      <c r="AR153" s="204">
        <f t="shared" si="217"/>
        <v>136</v>
      </c>
      <c r="AS153" s="205">
        <f t="shared" si="218"/>
        <v>2750055.9646752113</v>
      </c>
      <c r="AT153" s="205">
        <f t="shared" si="201"/>
        <v>-18117.071455543857</v>
      </c>
      <c r="AU153" s="205">
        <f t="shared" si="202"/>
        <v>-10312.709867532043</v>
      </c>
      <c r="AV153" s="205">
        <f t="shared" si="219"/>
        <v>-7804.3615880118141</v>
      </c>
      <c r="AW153" s="205">
        <f t="shared" si="220"/>
        <v>2742251.6030871994</v>
      </c>
      <c r="AX153" s="199"/>
    </row>
    <row r="154" spans="1:50">
      <c r="A154" s="73"/>
      <c r="B154" s="570"/>
      <c r="C154" s="200">
        <f t="shared" ref="C154:C161" si="232">+C153</f>
        <v>12</v>
      </c>
      <c r="D154" s="201">
        <f t="shared" si="228"/>
        <v>5</v>
      </c>
      <c r="E154" s="202">
        <f t="shared" ca="1" si="221"/>
        <v>48549</v>
      </c>
      <c r="F154" s="203">
        <f>IF(Dashboard!$Q$5="Float",F153+Dashboard!$R$5/12,F153)</f>
        <v>0.04</v>
      </c>
      <c r="G154" s="204">
        <f t="shared" si="203"/>
        <v>137</v>
      </c>
      <c r="H154" s="205">
        <f t="shared" si="204"/>
        <v>2822244.512274805</v>
      </c>
      <c r="I154" s="205">
        <f t="shared" si="191"/>
        <v>-17903.073579954726</v>
      </c>
      <c r="J154" s="205">
        <f t="shared" si="192"/>
        <v>-9407.4817075826832</v>
      </c>
      <c r="K154" s="205">
        <f t="shared" si="205"/>
        <v>-8495.5918723720424</v>
      </c>
      <c r="L154" s="205">
        <f t="shared" si="206"/>
        <v>2813748.9204024328</v>
      </c>
      <c r="M154" s="199"/>
      <c r="N154" s="200">
        <f t="shared" ca="1" si="207"/>
        <v>0</v>
      </c>
      <c r="O154" s="509">
        <f t="shared" ca="1" si="193"/>
        <v>0</v>
      </c>
      <c r="P154" s="200">
        <f t="shared" ca="1" si="194"/>
        <v>0</v>
      </c>
      <c r="Q154" s="201">
        <f t="shared" si="229"/>
        <v>5</v>
      </c>
      <c r="R154" s="202">
        <f t="shared" si="222"/>
        <v>43952</v>
      </c>
      <c r="S154" s="203">
        <f t="shared" si="208"/>
        <v>0.04</v>
      </c>
      <c r="T154" s="204" t="str">
        <f t="shared" ca="1" si="209"/>
        <v>I/O</v>
      </c>
      <c r="U154" s="205">
        <f t="shared" ca="1" si="210"/>
        <v>500000</v>
      </c>
      <c r="V154" s="205">
        <f t="shared" ca="1" si="195"/>
        <v>-1666.6666666666667</v>
      </c>
      <c r="W154" s="205">
        <f t="shared" ca="1" si="196"/>
        <v>-1666.6666666666667</v>
      </c>
      <c r="X154" s="205">
        <f t="shared" ca="1" si="211"/>
        <v>0</v>
      </c>
      <c r="Y154" s="205">
        <f t="shared" ca="1" si="212"/>
        <v>500000</v>
      </c>
      <c r="Z154" s="199"/>
      <c r="AA154" s="200">
        <f t="shared" ca="1" si="200"/>
        <v>12</v>
      </c>
      <c r="AB154" s="509">
        <f t="shared" ca="1" si="197"/>
        <v>136</v>
      </c>
      <c r="AC154" s="200">
        <f t="shared" ref="AC154:AC161" si="233">+AC153</f>
        <v>12</v>
      </c>
      <c r="AD154" s="201">
        <f t="shared" si="230"/>
        <v>5</v>
      </c>
      <c r="AE154" s="202">
        <f t="shared" ca="1" si="223"/>
        <v>48549</v>
      </c>
      <c r="AF154" s="203">
        <f>IF(Dashboard!$R$24="Float",AF153+Dashboard!$R$24/12,AF153)</f>
        <v>0.06</v>
      </c>
      <c r="AG154" s="204">
        <f t="shared" si="213"/>
        <v>137</v>
      </c>
      <c r="AH154" s="205">
        <f t="shared" si="214"/>
        <v>0</v>
      </c>
      <c r="AI154" s="205">
        <f t="shared" si="198"/>
        <v>0</v>
      </c>
      <c r="AJ154" s="205">
        <f t="shared" si="199"/>
        <v>0</v>
      </c>
      <c r="AK154" s="205">
        <f t="shared" si="215"/>
        <v>0</v>
      </c>
      <c r="AL154" s="205">
        <f t="shared" si="216"/>
        <v>0</v>
      </c>
      <c r="AM154" s="199"/>
      <c r="AN154" s="200">
        <f t="shared" ref="AN154:AN161" si="234">+AN153</f>
        <v>13</v>
      </c>
      <c r="AO154" s="201">
        <f t="shared" si="231"/>
        <v>5</v>
      </c>
      <c r="AP154" s="202">
        <f t="shared" ca="1" si="224"/>
        <v>48549</v>
      </c>
      <c r="AQ154" s="203">
        <f>IF(Dashboard!$S$20="Float",AQ153+Dashboard!$T$20/12,AQ153)</f>
        <v>4.4999999999999998E-2</v>
      </c>
      <c r="AR154" s="204">
        <f t="shared" si="217"/>
        <v>137</v>
      </c>
      <c r="AS154" s="205">
        <f t="shared" si="218"/>
        <v>2742251.6030871994</v>
      </c>
      <c r="AT154" s="205">
        <f t="shared" si="201"/>
        <v>-18117.071455543857</v>
      </c>
      <c r="AU154" s="205">
        <f t="shared" si="202"/>
        <v>-10283.443511576997</v>
      </c>
      <c r="AV154" s="205">
        <f t="shared" si="219"/>
        <v>-7833.6279439668597</v>
      </c>
      <c r="AW154" s="205">
        <f t="shared" si="220"/>
        <v>2734417.9751432324</v>
      </c>
      <c r="AX154" s="199"/>
    </row>
    <row r="155" spans="1:50">
      <c r="A155" s="73"/>
      <c r="B155" s="570"/>
      <c r="C155" s="200">
        <f t="shared" si="232"/>
        <v>12</v>
      </c>
      <c r="D155" s="201">
        <f t="shared" si="228"/>
        <v>6</v>
      </c>
      <c r="E155" s="202">
        <f t="shared" ca="1" si="221"/>
        <v>48580</v>
      </c>
      <c r="F155" s="203">
        <f>IF(Dashboard!$Q$5="Float",F154+Dashboard!$R$5/12,F154)</f>
        <v>0.04</v>
      </c>
      <c r="G155" s="204">
        <f t="shared" si="203"/>
        <v>138</v>
      </c>
      <c r="H155" s="205">
        <f t="shared" si="204"/>
        <v>2813748.9204024328</v>
      </c>
      <c r="I155" s="205">
        <f t="shared" si="191"/>
        <v>-17903.073579954722</v>
      </c>
      <c r="J155" s="205">
        <f t="shared" si="192"/>
        <v>-9379.1630680081089</v>
      </c>
      <c r="K155" s="205">
        <f t="shared" si="205"/>
        <v>-8523.910511946613</v>
      </c>
      <c r="L155" s="205">
        <f t="shared" si="206"/>
        <v>2805225.009890486</v>
      </c>
      <c r="M155" s="199"/>
      <c r="N155" s="200">
        <f t="shared" ca="1" si="207"/>
        <v>0</v>
      </c>
      <c r="O155" s="509">
        <f t="shared" ca="1" si="193"/>
        <v>0</v>
      </c>
      <c r="P155" s="200">
        <f t="shared" ca="1" si="194"/>
        <v>0</v>
      </c>
      <c r="Q155" s="201">
        <f t="shared" si="229"/>
        <v>6</v>
      </c>
      <c r="R155" s="202">
        <f t="shared" si="222"/>
        <v>43983</v>
      </c>
      <c r="S155" s="203">
        <f t="shared" si="208"/>
        <v>0.04</v>
      </c>
      <c r="T155" s="204" t="str">
        <f t="shared" ca="1" si="209"/>
        <v>I/O</v>
      </c>
      <c r="U155" s="205">
        <f t="shared" ca="1" si="210"/>
        <v>500000</v>
      </c>
      <c r="V155" s="205">
        <f t="shared" ca="1" si="195"/>
        <v>-1666.6666666666667</v>
      </c>
      <c r="W155" s="205">
        <f t="shared" ca="1" si="196"/>
        <v>-1666.6666666666667</v>
      </c>
      <c r="X155" s="205">
        <f t="shared" ca="1" si="211"/>
        <v>0</v>
      </c>
      <c r="Y155" s="205">
        <f t="shared" ca="1" si="212"/>
        <v>500000</v>
      </c>
      <c r="Z155" s="199"/>
      <c r="AA155" s="200">
        <f t="shared" ca="1" si="200"/>
        <v>12</v>
      </c>
      <c r="AB155" s="509">
        <f t="shared" ca="1" si="197"/>
        <v>137</v>
      </c>
      <c r="AC155" s="200">
        <f t="shared" si="233"/>
        <v>12</v>
      </c>
      <c r="AD155" s="201">
        <f t="shared" si="230"/>
        <v>6</v>
      </c>
      <c r="AE155" s="202">
        <f t="shared" ca="1" si="223"/>
        <v>48580</v>
      </c>
      <c r="AF155" s="203">
        <f>IF(Dashboard!$R$24="Float",AF154+Dashboard!$R$24/12,AF154)</f>
        <v>0.06</v>
      </c>
      <c r="AG155" s="204">
        <f t="shared" si="213"/>
        <v>138</v>
      </c>
      <c r="AH155" s="205">
        <f t="shared" si="214"/>
        <v>0</v>
      </c>
      <c r="AI155" s="205">
        <f t="shared" si="198"/>
        <v>0</v>
      </c>
      <c r="AJ155" s="205">
        <f t="shared" si="199"/>
        <v>0</v>
      </c>
      <c r="AK155" s="205">
        <f t="shared" si="215"/>
        <v>0</v>
      </c>
      <c r="AL155" s="205">
        <f t="shared" si="216"/>
        <v>0</v>
      </c>
      <c r="AM155" s="199"/>
      <c r="AN155" s="200">
        <f t="shared" si="234"/>
        <v>13</v>
      </c>
      <c r="AO155" s="201">
        <f t="shared" si="231"/>
        <v>6</v>
      </c>
      <c r="AP155" s="202">
        <f t="shared" ca="1" si="224"/>
        <v>48580</v>
      </c>
      <c r="AQ155" s="203">
        <f>IF(Dashboard!$S$20="Float",AQ154+Dashboard!$T$20/12,AQ154)</f>
        <v>4.4999999999999998E-2</v>
      </c>
      <c r="AR155" s="204">
        <f t="shared" si="217"/>
        <v>138</v>
      </c>
      <c r="AS155" s="205">
        <f t="shared" si="218"/>
        <v>2734417.9751432324</v>
      </c>
      <c r="AT155" s="205">
        <f t="shared" si="201"/>
        <v>-18117.071455543857</v>
      </c>
      <c r="AU155" s="205">
        <f t="shared" si="202"/>
        <v>-10254.06740678712</v>
      </c>
      <c r="AV155" s="205">
        <f t="shared" si="219"/>
        <v>-7863.0040487567367</v>
      </c>
      <c r="AW155" s="205">
        <f t="shared" si="220"/>
        <v>2726554.9710944756</v>
      </c>
      <c r="AX155" s="199"/>
    </row>
    <row r="156" spans="1:50">
      <c r="A156" s="73"/>
      <c r="B156" s="570"/>
      <c r="C156" s="200">
        <f t="shared" si="232"/>
        <v>12</v>
      </c>
      <c r="D156" s="201">
        <f t="shared" si="228"/>
        <v>7</v>
      </c>
      <c r="E156" s="202">
        <f t="shared" ca="1" si="221"/>
        <v>48611</v>
      </c>
      <c r="F156" s="203">
        <f>IF(Dashboard!$Q$5="Float",F155+Dashboard!$R$5/12,F155)</f>
        <v>0.04</v>
      </c>
      <c r="G156" s="204">
        <f t="shared" si="203"/>
        <v>139</v>
      </c>
      <c r="H156" s="205">
        <f t="shared" si="204"/>
        <v>2805225.009890486</v>
      </c>
      <c r="I156" s="205">
        <f t="shared" si="191"/>
        <v>-17903.073579954722</v>
      </c>
      <c r="J156" s="205">
        <f t="shared" si="192"/>
        <v>-9350.7500329682862</v>
      </c>
      <c r="K156" s="205">
        <f t="shared" si="205"/>
        <v>-8552.3235469864358</v>
      </c>
      <c r="L156" s="205">
        <f t="shared" si="206"/>
        <v>2796672.6863434995</v>
      </c>
      <c r="M156" s="199"/>
      <c r="N156" s="200">
        <f t="shared" ca="1" si="207"/>
        <v>0</v>
      </c>
      <c r="O156" s="509">
        <f t="shared" ca="1" si="193"/>
        <v>0</v>
      </c>
      <c r="P156" s="200">
        <f t="shared" ca="1" si="194"/>
        <v>0</v>
      </c>
      <c r="Q156" s="201">
        <f t="shared" si="229"/>
        <v>7</v>
      </c>
      <c r="R156" s="202">
        <f t="shared" si="222"/>
        <v>44013</v>
      </c>
      <c r="S156" s="203">
        <f t="shared" si="208"/>
        <v>0.04</v>
      </c>
      <c r="T156" s="204" t="str">
        <f t="shared" ca="1" si="209"/>
        <v>I/O</v>
      </c>
      <c r="U156" s="205">
        <f t="shared" ca="1" si="210"/>
        <v>500000</v>
      </c>
      <c r="V156" s="205">
        <f t="shared" ca="1" si="195"/>
        <v>-1666.6666666666667</v>
      </c>
      <c r="W156" s="205">
        <f t="shared" ca="1" si="196"/>
        <v>-1666.6666666666667</v>
      </c>
      <c r="X156" s="205">
        <f t="shared" ca="1" si="211"/>
        <v>0</v>
      </c>
      <c r="Y156" s="205">
        <f t="shared" ca="1" si="212"/>
        <v>500000</v>
      </c>
      <c r="Z156" s="199"/>
      <c r="AA156" s="200">
        <f t="shared" ca="1" si="200"/>
        <v>12</v>
      </c>
      <c r="AB156" s="509">
        <f t="shared" ca="1" si="197"/>
        <v>138</v>
      </c>
      <c r="AC156" s="200">
        <f t="shared" si="233"/>
        <v>12</v>
      </c>
      <c r="AD156" s="201">
        <f t="shared" si="230"/>
        <v>7</v>
      </c>
      <c r="AE156" s="202">
        <f t="shared" ca="1" si="223"/>
        <v>48611</v>
      </c>
      <c r="AF156" s="203">
        <f>IF(Dashboard!$R$24="Float",AF155+Dashboard!$R$24/12,AF155)</f>
        <v>0.06</v>
      </c>
      <c r="AG156" s="204">
        <f t="shared" si="213"/>
        <v>139</v>
      </c>
      <c r="AH156" s="205">
        <f t="shared" si="214"/>
        <v>0</v>
      </c>
      <c r="AI156" s="205">
        <f t="shared" si="198"/>
        <v>0</v>
      </c>
      <c r="AJ156" s="205">
        <f t="shared" si="199"/>
        <v>0</v>
      </c>
      <c r="AK156" s="205">
        <f t="shared" si="215"/>
        <v>0</v>
      </c>
      <c r="AL156" s="205">
        <f t="shared" si="216"/>
        <v>0</v>
      </c>
      <c r="AM156" s="199"/>
      <c r="AN156" s="200">
        <f t="shared" si="234"/>
        <v>13</v>
      </c>
      <c r="AO156" s="201">
        <f t="shared" si="231"/>
        <v>7</v>
      </c>
      <c r="AP156" s="202">
        <f t="shared" ca="1" si="224"/>
        <v>48611</v>
      </c>
      <c r="AQ156" s="203">
        <f>IF(Dashboard!$S$20="Float",AQ155+Dashboard!$T$20/12,AQ155)</f>
        <v>4.4999999999999998E-2</v>
      </c>
      <c r="AR156" s="204">
        <f t="shared" si="217"/>
        <v>139</v>
      </c>
      <c r="AS156" s="205">
        <f t="shared" si="218"/>
        <v>2726554.9710944756</v>
      </c>
      <c r="AT156" s="205">
        <f t="shared" si="201"/>
        <v>-18117.071455543857</v>
      </c>
      <c r="AU156" s="205">
        <f t="shared" si="202"/>
        <v>-10224.581141604283</v>
      </c>
      <c r="AV156" s="205">
        <f t="shared" si="219"/>
        <v>-7892.4903139395738</v>
      </c>
      <c r="AW156" s="205">
        <f t="shared" si="220"/>
        <v>2718662.4807805358</v>
      </c>
      <c r="AX156" s="199"/>
    </row>
    <row r="157" spans="1:50">
      <c r="A157" s="73"/>
      <c r="B157" s="570"/>
      <c r="C157" s="200">
        <f t="shared" si="232"/>
        <v>12</v>
      </c>
      <c r="D157" s="201">
        <f t="shared" si="228"/>
        <v>8</v>
      </c>
      <c r="E157" s="202">
        <f t="shared" ca="1" si="221"/>
        <v>48639</v>
      </c>
      <c r="F157" s="203">
        <f>IF(Dashboard!$Q$5="Float",F156+Dashboard!$R$5/12,F156)</f>
        <v>0.04</v>
      </c>
      <c r="G157" s="204">
        <f t="shared" si="203"/>
        <v>140</v>
      </c>
      <c r="H157" s="205">
        <f t="shared" si="204"/>
        <v>2796672.6863434995</v>
      </c>
      <c r="I157" s="205">
        <f t="shared" si="191"/>
        <v>-17903.073579954722</v>
      </c>
      <c r="J157" s="205">
        <f t="shared" si="192"/>
        <v>-9322.2422878116649</v>
      </c>
      <c r="K157" s="205">
        <f t="shared" si="205"/>
        <v>-8580.831292143057</v>
      </c>
      <c r="L157" s="205">
        <f t="shared" si="206"/>
        <v>2788091.8550513564</v>
      </c>
      <c r="M157" s="199"/>
      <c r="N157" s="200">
        <f t="shared" ca="1" si="207"/>
        <v>0</v>
      </c>
      <c r="O157" s="509">
        <f t="shared" ca="1" si="193"/>
        <v>0</v>
      </c>
      <c r="P157" s="200">
        <f t="shared" ca="1" si="194"/>
        <v>0</v>
      </c>
      <c r="Q157" s="201">
        <f t="shared" si="229"/>
        <v>8</v>
      </c>
      <c r="R157" s="202">
        <f t="shared" si="222"/>
        <v>44044</v>
      </c>
      <c r="S157" s="203">
        <f t="shared" si="208"/>
        <v>0.04</v>
      </c>
      <c r="T157" s="204" t="str">
        <f t="shared" ca="1" si="209"/>
        <v>I/O</v>
      </c>
      <c r="U157" s="205">
        <f t="shared" ca="1" si="210"/>
        <v>500000</v>
      </c>
      <c r="V157" s="205">
        <f t="shared" ca="1" si="195"/>
        <v>-1666.6666666666667</v>
      </c>
      <c r="W157" s="205">
        <f t="shared" ca="1" si="196"/>
        <v>-1666.6666666666667</v>
      </c>
      <c r="X157" s="205">
        <f t="shared" ca="1" si="211"/>
        <v>0</v>
      </c>
      <c r="Y157" s="205">
        <f t="shared" ca="1" si="212"/>
        <v>500000</v>
      </c>
      <c r="Z157" s="199"/>
      <c r="AA157" s="200">
        <f t="shared" ca="1" si="200"/>
        <v>12</v>
      </c>
      <c r="AB157" s="509">
        <f t="shared" ca="1" si="197"/>
        <v>139</v>
      </c>
      <c r="AC157" s="200">
        <f t="shared" si="233"/>
        <v>12</v>
      </c>
      <c r="AD157" s="201">
        <f t="shared" si="230"/>
        <v>8</v>
      </c>
      <c r="AE157" s="202">
        <f t="shared" ca="1" si="223"/>
        <v>48639</v>
      </c>
      <c r="AF157" s="203">
        <f>IF(Dashboard!$R$24="Float",AF156+Dashboard!$R$24/12,AF156)</f>
        <v>0.06</v>
      </c>
      <c r="AG157" s="204">
        <f t="shared" si="213"/>
        <v>140</v>
      </c>
      <c r="AH157" s="205">
        <f t="shared" si="214"/>
        <v>0</v>
      </c>
      <c r="AI157" s="205">
        <f t="shared" si="198"/>
        <v>0</v>
      </c>
      <c r="AJ157" s="205">
        <f t="shared" si="199"/>
        <v>0</v>
      </c>
      <c r="AK157" s="205">
        <f t="shared" si="215"/>
        <v>0</v>
      </c>
      <c r="AL157" s="205">
        <f t="shared" si="216"/>
        <v>0</v>
      </c>
      <c r="AM157" s="199"/>
      <c r="AN157" s="200">
        <f t="shared" si="234"/>
        <v>13</v>
      </c>
      <c r="AO157" s="201">
        <f t="shared" si="231"/>
        <v>8</v>
      </c>
      <c r="AP157" s="202">
        <f t="shared" ca="1" si="224"/>
        <v>48639</v>
      </c>
      <c r="AQ157" s="203">
        <f>IF(Dashboard!$S$20="Float",AQ156+Dashboard!$T$20/12,AQ156)</f>
        <v>4.4999999999999998E-2</v>
      </c>
      <c r="AR157" s="204">
        <f t="shared" si="217"/>
        <v>140</v>
      </c>
      <c r="AS157" s="205">
        <f t="shared" si="218"/>
        <v>2718662.4807805358</v>
      </c>
      <c r="AT157" s="205">
        <f t="shared" si="201"/>
        <v>-18117.071455543854</v>
      </c>
      <c r="AU157" s="205">
        <f t="shared" si="202"/>
        <v>-10194.984302927009</v>
      </c>
      <c r="AV157" s="205">
        <f t="shared" si="219"/>
        <v>-7922.0871526168448</v>
      </c>
      <c r="AW157" s="205">
        <f t="shared" si="220"/>
        <v>2710740.3936279188</v>
      </c>
      <c r="AX157" s="199"/>
    </row>
    <row r="158" spans="1:50">
      <c r="A158" s="73"/>
      <c r="B158" s="570"/>
      <c r="C158" s="200">
        <f t="shared" si="232"/>
        <v>12</v>
      </c>
      <c r="D158" s="201">
        <f t="shared" si="228"/>
        <v>9</v>
      </c>
      <c r="E158" s="202">
        <f t="shared" ca="1" si="221"/>
        <v>48670</v>
      </c>
      <c r="F158" s="203">
        <f>IF(Dashboard!$Q$5="Float",F157+Dashboard!$R$5/12,F157)</f>
        <v>0.04</v>
      </c>
      <c r="G158" s="204">
        <f t="shared" si="203"/>
        <v>141</v>
      </c>
      <c r="H158" s="205">
        <f t="shared" si="204"/>
        <v>2788091.8550513564</v>
      </c>
      <c r="I158" s="205">
        <f t="shared" si="191"/>
        <v>-17903.073579954722</v>
      </c>
      <c r="J158" s="205">
        <f t="shared" si="192"/>
        <v>-9293.6395168378549</v>
      </c>
      <c r="K158" s="205">
        <f t="shared" si="205"/>
        <v>-8609.434063116867</v>
      </c>
      <c r="L158" s="205">
        <f t="shared" si="206"/>
        <v>2779482.4209882393</v>
      </c>
      <c r="M158" s="199"/>
      <c r="N158" s="200">
        <f t="shared" ca="1" si="207"/>
        <v>0</v>
      </c>
      <c r="O158" s="509">
        <f t="shared" ca="1" si="193"/>
        <v>0</v>
      </c>
      <c r="P158" s="200">
        <f t="shared" ca="1" si="194"/>
        <v>0</v>
      </c>
      <c r="Q158" s="201">
        <f t="shared" si="229"/>
        <v>9</v>
      </c>
      <c r="R158" s="202">
        <f t="shared" si="222"/>
        <v>44075</v>
      </c>
      <c r="S158" s="203">
        <f t="shared" si="208"/>
        <v>0.04</v>
      </c>
      <c r="T158" s="204" t="str">
        <f t="shared" ca="1" si="209"/>
        <v>I/O</v>
      </c>
      <c r="U158" s="205">
        <f t="shared" ca="1" si="210"/>
        <v>500000</v>
      </c>
      <c r="V158" s="205">
        <f t="shared" ca="1" si="195"/>
        <v>-1666.6666666666667</v>
      </c>
      <c r="W158" s="205">
        <f t="shared" ca="1" si="196"/>
        <v>-1666.6666666666667</v>
      </c>
      <c r="X158" s="205">
        <f t="shared" ca="1" si="211"/>
        <v>0</v>
      </c>
      <c r="Y158" s="205">
        <f t="shared" ca="1" si="212"/>
        <v>500000</v>
      </c>
      <c r="Z158" s="199"/>
      <c r="AA158" s="200">
        <f t="shared" ca="1" si="200"/>
        <v>12</v>
      </c>
      <c r="AB158" s="509">
        <f t="shared" ca="1" si="197"/>
        <v>140</v>
      </c>
      <c r="AC158" s="200">
        <f t="shared" si="233"/>
        <v>12</v>
      </c>
      <c r="AD158" s="201">
        <f t="shared" si="230"/>
        <v>9</v>
      </c>
      <c r="AE158" s="202">
        <f t="shared" ca="1" si="223"/>
        <v>48670</v>
      </c>
      <c r="AF158" s="203">
        <f>IF(Dashboard!$R$24="Float",AF157+Dashboard!$R$24/12,AF157)</f>
        <v>0.06</v>
      </c>
      <c r="AG158" s="204">
        <f t="shared" si="213"/>
        <v>141</v>
      </c>
      <c r="AH158" s="205">
        <f t="shared" si="214"/>
        <v>0</v>
      </c>
      <c r="AI158" s="205">
        <f t="shared" si="198"/>
        <v>0</v>
      </c>
      <c r="AJ158" s="205">
        <f t="shared" si="199"/>
        <v>0</v>
      </c>
      <c r="AK158" s="205">
        <f t="shared" si="215"/>
        <v>0</v>
      </c>
      <c r="AL158" s="205">
        <f t="shared" si="216"/>
        <v>0</v>
      </c>
      <c r="AM158" s="199"/>
      <c r="AN158" s="200">
        <f t="shared" si="234"/>
        <v>13</v>
      </c>
      <c r="AO158" s="201">
        <f t="shared" si="231"/>
        <v>9</v>
      </c>
      <c r="AP158" s="202">
        <f t="shared" ca="1" si="224"/>
        <v>48670</v>
      </c>
      <c r="AQ158" s="203">
        <f>IF(Dashboard!$S$20="Float",AQ157+Dashboard!$T$20/12,AQ157)</f>
        <v>4.4999999999999998E-2</v>
      </c>
      <c r="AR158" s="204">
        <f t="shared" si="217"/>
        <v>141</v>
      </c>
      <c r="AS158" s="205">
        <f t="shared" si="218"/>
        <v>2710740.3936279188</v>
      </c>
      <c r="AT158" s="205">
        <f t="shared" si="201"/>
        <v>-18117.07145554385</v>
      </c>
      <c r="AU158" s="205">
        <f t="shared" si="202"/>
        <v>-10165.276476104695</v>
      </c>
      <c r="AV158" s="205">
        <f t="shared" si="219"/>
        <v>-7951.7949794391552</v>
      </c>
      <c r="AW158" s="205">
        <f t="shared" si="220"/>
        <v>2702788.5986484797</v>
      </c>
      <c r="AX158" s="199"/>
    </row>
    <row r="159" spans="1:50">
      <c r="A159" s="73"/>
      <c r="B159" s="570"/>
      <c r="C159" s="200">
        <f t="shared" si="232"/>
        <v>12</v>
      </c>
      <c r="D159" s="201">
        <f t="shared" si="228"/>
        <v>10</v>
      </c>
      <c r="E159" s="202">
        <f t="shared" ca="1" si="221"/>
        <v>48700</v>
      </c>
      <c r="F159" s="203">
        <f>IF(Dashboard!$Q$5="Float",F158+Dashboard!$R$5/12,F158)</f>
        <v>0.04</v>
      </c>
      <c r="G159" s="204">
        <f t="shared" si="203"/>
        <v>142</v>
      </c>
      <c r="H159" s="205">
        <f t="shared" si="204"/>
        <v>2779482.4209882393</v>
      </c>
      <c r="I159" s="205">
        <f t="shared" si="191"/>
        <v>-17903.073579954722</v>
      </c>
      <c r="J159" s="205">
        <f t="shared" si="192"/>
        <v>-9264.9414032941313</v>
      </c>
      <c r="K159" s="205">
        <f t="shared" si="205"/>
        <v>-8638.1321766605906</v>
      </c>
      <c r="L159" s="205">
        <f t="shared" si="206"/>
        <v>2770844.2888115789</v>
      </c>
      <c r="M159" s="199"/>
      <c r="N159" s="200">
        <f t="shared" ca="1" si="207"/>
        <v>0</v>
      </c>
      <c r="O159" s="509">
        <f t="shared" ca="1" si="193"/>
        <v>0</v>
      </c>
      <c r="P159" s="200">
        <f t="shared" ca="1" si="194"/>
        <v>0</v>
      </c>
      <c r="Q159" s="201">
        <f t="shared" si="229"/>
        <v>10</v>
      </c>
      <c r="R159" s="202">
        <f t="shared" si="222"/>
        <v>44105</v>
      </c>
      <c r="S159" s="203">
        <f t="shared" si="208"/>
        <v>0.04</v>
      </c>
      <c r="T159" s="204" t="str">
        <f t="shared" ca="1" si="209"/>
        <v>I/O</v>
      </c>
      <c r="U159" s="205">
        <f t="shared" ca="1" si="210"/>
        <v>500000</v>
      </c>
      <c r="V159" s="205">
        <f t="shared" ca="1" si="195"/>
        <v>-1666.6666666666667</v>
      </c>
      <c r="W159" s="205">
        <f t="shared" ca="1" si="196"/>
        <v>-1666.6666666666667</v>
      </c>
      <c r="X159" s="205">
        <f t="shared" ca="1" si="211"/>
        <v>0</v>
      </c>
      <c r="Y159" s="205">
        <f t="shared" ca="1" si="212"/>
        <v>500000</v>
      </c>
      <c r="Z159" s="199"/>
      <c r="AA159" s="200">
        <f t="shared" ca="1" si="200"/>
        <v>12</v>
      </c>
      <c r="AB159" s="509">
        <f t="shared" ca="1" si="197"/>
        <v>141</v>
      </c>
      <c r="AC159" s="200">
        <f t="shared" si="233"/>
        <v>12</v>
      </c>
      <c r="AD159" s="201">
        <f t="shared" si="230"/>
        <v>10</v>
      </c>
      <c r="AE159" s="202">
        <f t="shared" ca="1" si="223"/>
        <v>48700</v>
      </c>
      <c r="AF159" s="203">
        <f>IF(Dashboard!$R$24="Float",AF158+Dashboard!$R$24/12,AF158)</f>
        <v>0.06</v>
      </c>
      <c r="AG159" s="204">
        <f t="shared" si="213"/>
        <v>142</v>
      </c>
      <c r="AH159" s="205">
        <f t="shared" si="214"/>
        <v>0</v>
      </c>
      <c r="AI159" s="205">
        <f t="shared" si="198"/>
        <v>0</v>
      </c>
      <c r="AJ159" s="205">
        <f t="shared" si="199"/>
        <v>0</v>
      </c>
      <c r="AK159" s="205">
        <f t="shared" si="215"/>
        <v>0</v>
      </c>
      <c r="AL159" s="205">
        <f t="shared" si="216"/>
        <v>0</v>
      </c>
      <c r="AM159" s="199"/>
      <c r="AN159" s="200">
        <f t="shared" si="234"/>
        <v>13</v>
      </c>
      <c r="AO159" s="201">
        <f t="shared" si="231"/>
        <v>10</v>
      </c>
      <c r="AP159" s="202">
        <f t="shared" ca="1" si="224"/>
        <v>48700</v>
      </c>
      <c r="AQ159" s="203">
        <f>IF(Dashboard!$S$20="Float",AQ158+Dashboard!$T$20/12,AQ158)</f>
        <v>4.4999999999999998E-2</v>
      </c>
      <c r="AR159" s="204">
        <f t="shared" si="217"/>
        <v>142</v>
      </c>
      <c r="AS159" s="205">
        <f t="shared" si="218"/>
        <v>2702788.5986484797</v>
      </c>
      <c r="AT159" s="205">
        <f t="shared" si="201"/>
        <v>-18117.071455543854</v>
      </c>
      <c r="AU159" s="205">
        <f t="shared" si="202"/>
        <v>-10135.457244931798</v>
      </c>
      <c r="AV159" s="205">
        <f t="shared" si="219"/>
        <v>-7981.6142106120551</v>
      </c>
      <c r="AW159" s="205">
        <f t="shared" si="220"/>
        <v>2694806.9844378675</v>
      </c>
      <c r="AX159" s="199"/>
    </row>
    <row r="160" spans="1:50">
      <c r="A160" s="73"/>
      <c r="B160" s="570"/>
      <c r="C160" s="200">
        <f t="shared" si="232"/>
        <v>12</v>
      </c>
      <c r="D160" s="201">
        <f t="shared" si="228"/>
        <v>11</v>
      </c>
      <c r="E160" s="202">
        <f t="shared" ca="1" si="221"/>
        <v>48731</v>
      </c>
      <c r="F160" s="203">
        <f>IF(Dashboard!$Q$5="Float",F159+Dashboard!$R$5/12,F159)</f>
        <v>0.04</v>
      </c>
      <c r="G160" s="204">
        <f t="shared" si="203"/>
        <v>143</v>
      </c>
      <c r="H160" s="205">
        <f t="shared" si="204"/>
        <v>2770844.2888115789</v>
      </c>
      <c r="I160" s="205">
        <f t="shared" si="191"/>
        <v>-17903.073579954722</v>
      </c>
      <c r="J160" s="205">
        <f t="shared" si="192"/>
        <v>-9236.1476293719297</v>
      </c>
      <c r="K160" s="205">
        <f t="shared" si="205"/>
        <v>-8666.9259505827922</v>
      </c>
      <c r="L160" s="205">
        <f t="shared" si="206"/>
        <v>2762177.3628609963</v>
      </c>
      <c r="M160" s="199"/>
      <c r="N160" s="200">
        <f t="shared" ca="1" si="207"/>
        <v>0</v>
      </c>
      <c r="O160" s="509">
        <f t="shared" ca="1" si="193"/>
        <v>0</v>
      </c>
      <c r="P160" s="200">
        <f t="shared" ca="1" si="194"/>
        <v>0</v>
      </c>
      <c r="Q160" s="201">
        <f t="shared" si="229"/>
        <v>11</v>
      </c>
      <c r="R160" s="202">
        <f t="shared" si="222"/>
        <v>44136</v>
      </c>
      <c r="S160" s="203">
        <f t="shared" si="208"/>
        <v>0.04</v>
      </c>
      <c r="T160" s="204" t="str">
        <f t="shared" ca="1" si="209"/>
        <v>I/O</v>
      </c>
      <c r="U160" s="205">
        <f t="shared" ca="1" si="210"/>
        <v>500000</v>
      </c>
      <c r="V160" s="205">
        <f t="shared" ca="1" si="195"/>
        <v>-1666.6666666666667</v>
      </c>
      <c r="W160" s="205">
        <f t="shared" ca="1" si="196"/>
        <v>-1666.6666666666667</v>
      </c>
      <c r="X160" s="205">
        <f t="shared" ca="1" si="211"/>
        <v>0</v>
      </c>
      <c r="Y160" s="205">
        <f t="shared" ca="1" si="212"/>
        <v>500000</v>
      </c>
      <c r="Z160" s="199"/>
      <c r="AA160" s="200">
        <f t="shared" ca="1" si="200"/>
        <v>12</v>
      </c>
      <c r="AB160" s="509">
        <f t="shared" ca="1" si="197"/>
        <v>142</v>
      </c>
      <c r="AC160" s="200">
        <f t="shared" si="233"/>
        <v>12</v>
      </c>
      <c r="AD160" s="201">
        <f t="shared" si="230"/>
        <v>11</v>
      </c>
      <c r="AE160" s="202">
        <f t="shared" ca="1" si="223"/>
        <v>48731</v>
      </c>
      <c r="AF160" s="203">
        <f>IF(Dashboard!$R$24="Float",AF159+Dashboard!$R$24/12,AF159)</f>
        <v>0.06</v>
      </c>
      <c r="AG160" s="204">
        <f t="shared" si="213"/>
        <v>143</v>
      </c>
      <c r="AH160" s="205">
        <f t="shared" si="214"/>
        <v>0</v>
      </c>
      <c r="AI160" s="205">
        <f t="shared" si="198"/>
        <v>0</v>
      </c>
      <c r="AJ160" s="205">
        <f t="shared" si="199"/>
        <v>0</v>
      </c>
      <c r="AK160" s="205">
        <f t="shared" si="215"/>
        <v>0</v>
      </c>
      <c r="AL160" s="205">
        <f t="shared" si="216"/>
        <v>0</v>
      </c>
      <c r="AM160" s="199"/>
      <c r="AN160" s="200">
        <f t="shared" si="234"/>
        <v>13</v>
      </c>
      <c r="AO160" s="201">
        <f t="shared" si="231"/>
        <v>11</v>
      </c>
      <c r="AP160" s="202">
        <f t="shared" ca="1" si="224"/>
        <v>48731</v>
      </c>
      <c r="AQ160" s="203">
        <f>IF(Dashboard!$S$20="Float",AQ159+Dashboard!$T$20/12,AQ159)</f>
        <v>4.4999999999999998E-2</v>
      </c>
      <c r="AR160" s="204">
        <f t="shared" si="217"/>
        <v>143</v>
      </c>
      <c r="AS160" s="205">
        <f t="shared" si="218"/>
        <v>2694806.9844378675</v>
      </c>
      <c r="AT160" s="205">
        <f t="shared" si="201"/>
        <v>-18117.071455543854</v>
      </c>
      <c r="AU160" s="205">
        <f t="shared" si="202"/>
        <v>-10105.526191642004</v>
      </c>
      <c r="AV160" s="205">
        <f t="shared" si="219"/>
        <v>-8011.5452639018495</v>
      </c>
      <c r="AW160" s="205">
        <f t="shared" si="220"/>
        <v>2686795.4391739657</v>
      </c>
      <c r="AX160" s="199"/>
    </row>
    <row r="161" spans="1:50">
      <c r="A161" s="73"/>
      <c r="B161" s="570"/>
      <c r="C161" s="200">
        <f t="shared" si="232"/>
        <v>12</v>
      </c>
      <c r="D161" s="201">
        <f t="shared" si="228"/>
        <v>12</v>
      </c>
      <c r="E161" s="202">
        <f t="shared" ca="1" si="221"/>
        <v>48761</v>
      </c>
      <c r="F161" s="203">
        <f>IF(Dashboard!$Q$5="Float",F160+Dashboard!$R$5/12,F160)</f>
        <v>0.04</v>
      </c>
      <c r="G161" s="204">
        <f t="shared" si="203"/>
        <v>144</v>
      </c>
      <c r="H161" s="205">
        <f t="shared" si="204"/>
        <v>2762177.3628609963</v>
      </c>
      <c r="I161" s="205">
        <f t="shared" si="191"/>
        <v>-17903.073579954722</v>
      </c>
      <c r="J161" s="205">
        <f t="shared" si="192"/>
        <v>-9207.2578762033208</v>
      </c>
      <c r="K161" s="205">
        <f t="shared" si="205"/>
        <v>-8695.8157037514011</v>
      </c>
      <c r="L161" s="205">
        <f t="shared" si="206"/>
        <v>2753481.5471572448</v>
      </c>
      <c r="M161" s="199"/>
      <c r="N161" s="200">
        <f t="shared" ca="1" si="207"/>
        <v>0</v>
      </c>
      <c r="O161" s="509">
        <f t="shared" ca="1" si="193"/>
        <v>0</v>
      </c>
      <c r="P161" s="200">
        <f t="shared" ca="1" si="194"/>
        <v>0</v>
      </c>
      <c r="Q161" s="201">
        <f t="shared" si="229"/>
        <v>12</v>
      </c>
      <c r="R161" s="202">
        <f t="shared" si="222"/>
        <v>44166</v>
      </c>
      <c r="S161" s="203">
        <f t="shared" si="208"/>
        <v>0.04</v>
      </c>
      <c r="T161" s="204" t="str">
        <f t="shared" ca="1" si="209"/>
        <v>I/O</v>
      </c>
      <c r="U161" s="205">
        <f t="shared" ca="1" si="210"/>
        <v>500000</v>
      </c>
      <c r="V161" s="205">
        <f t="shared" ca="1" si="195"/>
        <v>-1666.6666666666667</v>
      </c>
      <c r="W161" s="205">
        <f t="shared" ca="1" si="196"/>
        <v>-1666.6666666666667</v>
      </c>
      <c r="X161" s="205">
        <f t="shared" ca="1" si="211"/>
        <v>0</v>
      </c>
      <c r="Y161" s="205">
        <f t="shared" ca="1" si="212"/>
        <v>500000</v>
      </c>
      <c r="Z161" s="199"/>
      <c r="AA161" s="200">
        <f t="shared" ca="1" si="200"/>
        <v>12</v>
      </c>
      <c r="AB161" s="509">
        <f t="shared" ca="1" si="197"/>
        <v>143</v>
      </c>
      <c r="AC161" s="200">
        <f t="shared" si="233"/>
        <v>12</v>
      </c>
      <c r="AD161" s="201">
        <f t="shared" si="230"/>
        <v>12</v>
      </c>
      <c r="AE161" s="202">
        <f t="shared" ca="1" si="223"/>
        <v>48761</v>
      </c>
      <c r="AF161" s="203">
        <f>IF(Dashboard!$R$24="Float",AF160+Dashboard!$R$24/12,AF160)</f>
        <v>0.06</v>
      </c>
      <c r="AG161" s="204">
        <f t="shared" si="213"/>
        <v>144</v>
      </c>
      <c r="AH161" s="205">
        <f t="shared" si="214"/>
        <v>0</v>
      </c>
      <c r="AI161" s="205">
        <f t="shared" si="198"/>
        <v>0</v>
      </c>
      <c r="AJ161" s="205">
        <f t="shared" si="199"/>
        <v>0</v>
      </c>
      <c r="AK161" s="205">
        <f t="shared" si="215"/>
        <v>0</v>
      </c>
      <c r="AL161" s="205">
        <f t="shared" si="216"/>
        <v>0</v>
      </c>
      <c r="AM161" s="199"/>
      <c r="AN161" s="200">
        <f t="shared" si="234"/>
        <v>13</v>
      </c>
      <c r="AO161" s="201">
        <f t="shared" si="231"/>
        <v>12</v>
      </c>
      <c r="AP161" s="202">
        <f t="shared" ca="1" si="224"/>
        <v>48761</v>
      </c>
      <c r="AQ161" s="203">
        <f>IF(Dashboard!$S$20="Float",AQ160+Dashboard!$T$20/12,AQ160)</f>
        <v>4.4999999999999998E-2</v>
      </c>
      <c r="AR161" s="204">
        <f t="shared" si="217"/>
        <v>144</v>
      </c>
      <c r="AS161" s="205">
        <f t="shared" si="218"/>
        <v>2686795.4391739657</v>
      </c>
      <c r="AT161" s="205">
        <f t="shared" si="201"/>
        <v>-18117.071455543854</v>
      </c>
      <c r="AU161" s="205">
        <f t="shared" si="202"/>
        <v>-10075.482896902371</v>
      </c>
      <c r="AV161" s="205">
        <f t="shared" si="219"/>
        <v>-8041.5885586414825</v>
      </c>
      <c r="AW161" s="205">
        <f t="shared" si="220"/>
        <v>2678753.8506153245</v>
      </c>
      <c r="AX161" s="199"/>
    </row>
    <row r="162" spans="1:50">
      <c r="A162" s="73"/>
      <c r="B162" s="571">
        <f>+C162</f>
        <v>13</v>
      </c>
      <c r="C162" s="16">
        <f t="shared" ref="C162" si="235">+C161+1</f>
        <v>13</v>
      </c>
      <c r="D162" s="17">
        <v>1</v>
      </c>
      <c r="E162" s="18">
        <f t="shared" ca="1" si="221"/>
        <v>48792</v>
      </c>
      <c r="F162" s="10">
        <f>IF(Dashboard!$Q$5="Float",F161+Dashboard!$R$5/12,F161)</f>
        <v>0.04</v>
      </c>
      <c r="G162" s="14">
        <f t="shared" si="203"/>
        <v>145</v>
      </c>
      <c r="H162" s="5">
        <f t="shared" si="204"/>
        <v>2753481.5471572448</v>
      </c>
      <c r="I162" s="5">
        <f t="shared" si="191"/>
        <v>-17903.073579954722</v>
      </c>
      <c r="J162" s="5">
        <f t="shared" si="192"/>
        <v>-9178.2718238574835</v>
      </c>
      <c r="K162" s="5">
        <f t="shared" si="205"/>
        <v>-8724.8017560972385</v>
      </c>
      <c r="L162" s="5">
        <f t="shared" si="206"/>
        <v>2744756.7454011473</v>
      </c>
      <c r="M162" s="199"/>
      <c r="N162" s="16">
        <f t="shared" ca="1" si="207"/>
        <v>0</v>
      </c>
      <c r="O162" s="508">
        <f t="shared" ca="1" si="193"/>
        <v>0</v>
      </c>
      <c r="P162" s="16">
        <f t="shared" ca="1" si="194"/>
        <v>0</v>
      </c>
      <c r="Q162" s="17">
        <v>1</v>
      </c>
      <c r="R162" s="18">
        <f t="shared" si="222"/>
        <v>44197</v>
      </c>
      <c r="S162" s="10">
        <f t="shared" si="208"/>
        <v>0.04</v>
      </c>
      <c r="T162" s="14" t="str">
        <f t="shared" ca="1" si="209"/>
        <v>I/O</v>
      </c>
      <c r="U162" s="5">
        <f t="shared" ca="1" si="210"/>
        <v>500000</v>
      </c>
      <c r="V162" s="5">
        <f t="shared" ca="1" si="195"/>
        <v>-1666.6666666666667</v>
      </c>
      <c r="W162" s="5">
        <f t="shared" ca="1" si="196"/>
        <v>-1666.6666666666667</v>
      </c>
      <c r="X162" s="5">
        <f t="shared" ca="1" si="211"/>
        <v>0</v>
      </c>
      <c r="Y162" s="5">
        <f t="shared" ca="1" si="212"/>
        <v>500000</v>
      </c>
      <c r="Z162" s="199"/>
      <c r="AA162" s="16">
        <f t="shared" ca="1" si="200"/>
        <v>12</v>
      </c>
      <c r="AB162" s="508">
        <f t="shared" ca="1" si="197"/>
        <v>144</v>
      </c>
      <c r="AC162" s="16">
        <f t="shared" ref="AC162" si="236">+AC161+1</f>
        <v>13</v>
      </c>
      <c r="AD162" s="17">
        <v>1</v>
      </c>
      <c r="AE162" s="18">
        <f t="shared" ca="1" si="223"/>
        <v>48792</v>
      </c>
      <c r="AF162" s="10">
        <f>IF(Dashboard!$R$24="Float",AF161+Dashboard!$R$24/12,AF161)</f>
        <v>0.06</v>
      </c>
      <c r="AG162" s="14">
        <f t="shared" si="213"/>
        <v>145</v>
      </c>
      <c r="AH162" s="5">
        <f t="shared" si="214"/>
        <v>0</v>
      </c>
      <c r="AI162" s="5">
        <f t="shared" si="198"/>
        <v>0</v>
      </c>
      <c r="AJ162" s="5">
        <f t="shared" si="199"/>
        <v>0</v>
      </c>
      <c r="AK162" s="5">
        <f t="shared" si="215"/>
        <v>0</v>
      </c>
      <c r="AL162" s="5">
        <f t="shared" si="216"/>
        <v>0</v>
      </c>
      <c r="AM162" s="199"/>
      <c r="AN162" s="16">
        <f t="shared" ref="AN162" si="237">+AN161+1</f>
        <v>14</v>
      </c>
      <c r="AO162" s="17">
        <v>1</v>
      </c>
      <c r="AP162" s="18">
        <f t="shared" ca="1" si="224"/>
        <v>48792</v>
      </c>
      <c r="AQ162" s="10">
        <f>IF(Dashboard!$S$20="Float",AQ161+Dashboard!$T$20/12,AQ161)</f>
        <v>4.4999999999999998E-2</v>
      </c>
      <c r="AR162" s="14">
        <f t="shared" si="217"/>
        <v>145</v>
      </c>
      <c r="AS162" s="5">
        <f t="shared" si="218"/>
        <v>2678753.8506153245</v>
      </c>
      <c r="AT162" s="5">
        <f t="shared" si="201"/>
        <v>-18117.071455543857</v>
      </c>
      <c r="AU162" s="5">
        <f t="shared" si="202"/>
        <v>-10045.326939807466</v>
      </c>
      <c r="AV162" s="5">
        <f t="shared" si="219"/>
        <v>-8071.7445157363909</v>
      </c>
      <c r="AW162" s="5">
        <f t="shared" si="220"/>
        <v>2670682.1060995879</v>
      </c>
      <c r="AX162" s="199"/>
    </row>
    <row r="163" spans="1:50">
      <c r="A163" s="73"/>
      <c r="B163" s="572"/>
      <c r="C163" s="16">
        <f>+C162</f>
        <v>13</v>
      </c>
      <c r="D163" s="17">
        <f>+D162+1</f>
        <v>2</v>
      </c>
      <c r="E163" s="18">
        <f t="shared" ca="1" si="221"/>
        <v>48823</v>
      </c>
      <c r="F163" s="10">
        <f>IF(Dashboard!$Q$5="Float",F162+Dashboard!$R$5/12,F162)</f>
        <v>0.04</v>
      </c>
      <c r="G163" s="14">
        <f t="shared" si="203"/>
        <v>146</v>
      </c>
      <c r="H163" s="5">
        <f t="shared" si="204"/>
        <v>2744756.7454011473</v>
      </c>
      <c r="I163" s="5">
        <f t="shared" si="191"/>
        <v>-17903.073579954718</v>
      </c>
      <c r="J163" s="5">
        <f t="shared" si="192"/>
        <v>-9149.1891513371575</v>
      </c>
      <c r="K163" s="5">
        <f t="shared" si="205"/>
        <v>-8753.8844286175608</v>
      </c>
      <c r="L163" s="5">
        <f t="shared" si="206"/>
        <v>2736002.8609725297</v>
      </c>
      <c r="M163" s="199"/>
      <c r="N163" s="16">
        <f t="shared" ca="1" si="207"/>
        <v>0</v>
      </c>
      <c r="O163" s="508">
        <f t="shared" ca="1" si="193"/>
        <v>0</v>
      </c>
      <c r="P163" s="16">
        <f t="shared" ca="1" si="194"/>
        <v>0</v>
      </c>
      <c r="Q163" s="17">
        <f>+Q162+1</f>
        <v>2</v>
      </c>
      <c r="R163" s="18">
        <f t="shared" si="222"/>
        <v>44228</v>
      </c>
      <c r="S163" s="10">
        <f t="shared" si="208"/>
        <v>0.04</v>
      </c>
      <c r="T163" s="14" t="str">
        <f t="shared" ca="1" si="209"/>
        <v>I/O</v>
      </c>
      <c r="U163" s="5">
        <f t="shared" ca="1" si="210"/>
        <v>500000</v>
      </c>
      <c r="V163" s="5">
        <f t="shared" ca="1" si="195"/>
        <v>-1666.6666666666667</v>
      </c>
      <c r="W163" s="5">
        <f t="shared" ca="1" si="196"/>
        <v>-1666.6666666666667</v>
      </c>
      <c r="X163" s="5">
        <f t="shared" ca="1" si="211"/>
        <v>0</v>
      </c>
      <c r="Y163" s="5">
        <f t="shared" ca="1" si="212"/>
        <v>500000</v>
      </c>
      <c r="Z163" s="199"/>
      <c r="AA163" s="16">
        <f t="shared" ca="1" si="200"/>
        <v>13</v>
      </c>
      <c r="AB163" s="508">
        <f t="shared" ca="1" si="197"/>
        <v>145</v>
      </c>
      <c r="AC163" s="16">
        <f>+AC162</f>
        <v>13</v>
      </c>
      <c r="AD163" s="17">
        <f>+AD162+1</f>
        <v>2</v>
      </c>
      <c r="AE163" s="18">
        <f t="shared" ca="1" si="223"/>
        <v>48823</v>
      </c>
      <c r="AF163" s="10">
        <f>IF(Dashboard!$R$24="Float",AF162+Dashboard!$R$24/12,AF162)</f>
        <v>0.06</v>
      </c>
      <c r="AG163" s="14">
        <f t="shared" si="213"/>
        <v>146</v>
      </c>
      <c r="AH163" s="5">
        <f t="shared" si="214"/>
        <v>0</v>
      </c>
      <c r="AI163" s="5">
        <f t="shared" si="198"/>
        <v>0</v>
      </c>
      <c r="AJ163" s="5">
        <f t="shared" si="199"/>
        <v>0</v>
      </c>
      <c r="AK163" s="5">
        <f t="shared" si="215"/>
        <v>0</v>
      </c>
      <c r="AL163" s="5">
        <f t="shared" si="216"/>
        <v>0</v>
      </c>
      <c r="AM163" s="199"/>
      <c r="AN163" s="16">
        <f>+AN162</f>
        <v>14</v>
      </c>
      <c r="AO163" s="17">
        <f>+AO162+1</f>
        <v>2</v>
      </c>
      <c r="AP163" s="18">
        <f t="shared" ca="1" si="224"/>
        <v>48823</v>
      </c>
      <c r="AQ163" s="10">
        <f>IF(Dashboard!$S$20="Float",AQ162+Dashboard!$T$20/12,AQ162)</f>
        <v>4.4999999999999998E-2</v>
      </c>
      <c r="AR163" s="14">
        <f t="shared" si="217"/>
        <v>146</v>
      </c>
      <c r="AS163" s="5">
        <f t="shared" si="218"/>
        <v>2670682.1060995879</v>
      </c>
      <c r="AT163" s="5">
        <f t="shared" si="201"/>
        <v>-18117.071455543854</v>
      </c>
      <c r="AU163" s="5">
        <f t="shared" si="202"/>
        <v>-10015.057897873454</v>
      </c>
      <c r="AV163" s="5">
        <f t="shared" si="219"/>
        <v>-8102.0135576703997</v>
      </c>
      <c r="AW163" s="5">
        <f t="shared" si="220"/>
        <v>2662580.0925419177</v>
      </c>
      <c r="AX163" s="199"/>
    </row>
    <row r="164" spans="1:50">
      <c r="A164" s="73"/>
      <c r="B164" s="572"/>
      <c r="C164" s="16">
        <f>+C163</f>
        <v>13</v>
      </c>
      <c r="D164" s="17">
        <f>+D163+1</f>
        <v>3</v>
      </c>
      <c r="E164" s="18">
        <f t="shared" ca="1" si="221"/>
        <v>48853</v>
      </c>
      <c r="F164" s="10">
        <f>IF(Dashboard!$Q$5="Float",F163+Dashboard!$R$5/12,F163)</f>
        <v>0.04</v>
      </c>
      <c r="G164" s="14">
        <f t="shared" si="203"/>
        <v>147</v>
      </c>
      <c r="H164" s="5">
        <f t="shared" si="204"/>
        <v>2736002.8609725297</v>
      </c>
      <c r="I164" s="5">
        <f t="shared" si="191"/>
        <v>-17903.073579954722</v>
      </c>
      <c r="J164" s="5">
        <f t="shared" si="192"/>
        <v>-9120.0095365750985</v>
      </c>
      <c r="K164" s="5">
        <f t="shared" si="205"/>
        <v>-8783.0640433796234</v>
      </c>
      <c r="L164" s="5">
        <f t="shared" si="206"/>
        <v>2727219.7969291499</v>
      </c>
      <c r="M164" s="199"/>
      <c r="N164" s="16">
        <f t="shared" ca="1" si="207"/>
        <v>0</v>
      </c>
      <c r="O164" s="508">
        <f t="shared" ca="1" si="193"/>
        <v>0</v>
      </c>
      <c r="P164" s="16">
        <f t="shared" ca="1" si="194"/>
        <v>0</v>
      </c>
      <c r="Q164" s="17">
        <f>+Q163+1</f>
        <v>3</v>
      </c>
      <c r="R164" s="18">
        <f t="shared" si="222"/>
        <v>44256</v>
      </c>
      <c r="S164" s="10">
        <f t="shared" si="208"/>
        <v>0.04</v>
      </c>
      <c r="T164" s="14" t="str">
        <f t="shared" ca="1" si="209"/>
        <v>I/O</v>
      </c>
      <c r="U164" s="5">
        <f t="shared" ca="1" si="210"/>
        <v>500000</v>
      </c>
      <c r="V164" s="5">
        <f t="shared" ca="1" si="195"/>
        <v>-1666.6666666666667</v>
      </c>
      <c r="W164" s="5">
        <f t="shared" ca="1" si="196"/>
        <v>-1666.6666666666667</v>
      </c>
      <c r="X164" s="5">
        <f t="shared" ca="1" si="211"/>
        <v>0</v>
      </c>
      <c r="Y164" s="5">
        <f t="shared" ca="1" si="212"/>
        <v>500000</v>
      </c>
      <c r="Z164" s="199"/>
      <c r="AA164" s="16">
        <f t="shared" ca="1" si="200"/>
        <v>13</v>
      </c>
      <c r="AB164" s="508">
        <f t="shared" ca="1" si="197"/>
        <v>146</v>
      </c>
      <c r="AC164" s="16">
        <f>+AC163</f>
        <v>13</v>
      </c>
      <c r="AD164" s="17">
        <f>+AD163+1</f>
        <v>3</v>
      </c>
      <c r="AE164" s="18">
        <f t="shared" ca="1" si="223"/>
        <v>48853</v>
      </c>
      <c r="AF164" s="10">
        <f>IF(Dashboard!$R$24="Float",AF163+Dashboard!$R$24/12,AF163)</f>
        <v>0.06</v>
      </c>
      <c r="AG164" s="14">
        <f t="shared" si="213"/>
        <v>147</v>
      </c>
      <c r="AH164" s="5">
        <f t="shared" si="214"/>
        <v>0</v>
      </c>
      <c r="AI164" s="5">
        <f t="shared" si="198"/>
        <v>0</v>
      </c>
      <c r="AJ164" s="5">
        <f t="shared" si="199"/>
        <v>0</v>
      </c>
      <c r="AK164" s="5">
        <f t="shared" si="215"/>
        <v>0</v>
      </c>
      <c r="AL164" s="5">
        <f t="shared" si="216"/>
        <v>0</v>
      </c>
      <c r="AM164" s="199"/>
      <c r="AN164" s="16">
        <f>+AN163</f>
        <v>14</v>
      </c>
      <c r="AO164" s="17">
        <f>+AO163+1</f>
        <v>3</v>
      </c>
      <c r="AP164" s="18">
        <f t="shared" ca="1" si="224"/>
        <v>48853</v>
      </c>
      <c r="AQ164" s="10">
        <f>IF(Dashboard!$S$20="Float",AQ163+Dashboard!$T$20/12,AQ163)</f>
        <v>4.4999999999999998E-2</v>
      </c>
      <c r="AR164" s="14">
        <f t="shared" si="217"/>
        <v>147</v>
      </c>
      <c r="AS164" s="5">
        <f t="shared" si="218"/>
        <v>2662580.0925419177</v>
      </c>
      <c r="AT164" s="5">
        <f t="shared" si="201"/>
        <v>-18117.071455543857</v>
      </c>
      <c r="AU164" s="5">
        <f t="shared" si="202"/>
        <v>-9984.675347032191</v>
      </c>
      <c r="AV164" s="5">
        <f t="shared" si="219"/>
        <v>-8132.3961085116662</v>
      </c>
      <c r="AW164" s="5">
        <f t="shared" si="220"/>
        <v>2654447.6964334059</v>
      </c>
      <c r="AX164" s="199"/>
    </row>
    <row r="165" spans="1:50">
      <c r="A165" s="73"/>
      <c r="B165" s="572"/>
      <c r="C165" s="16">
        <f>+C164</f>
        <v>13</v>
      </c>
      <c r="D165" s="17">
        <f t="shared" ref="D165:D173" si="238">+D164+1</f>
        <v>4</v>
      </c>
      <c r="E165" s="18">
        <f t="shared" ca="1" si="221"/>
        <v>48884</v>
      </c>
      <c r="F165" s="10">
        <f>IF(Dashboard!$Q$5="Float",F164+Dashboard!$R$5/12,F164)</f>
        <v>0.04</v>
      </c>
      <c r="G165" s="14">
        <f t="shared" si="203"/>
        <v>148</v>
      </c>
      <c r="H165" s="5">
        <f t="shared" si="204"/>
        <v>2727219.7969291499</v>
      </c>
      <c r="I165" s="5">
        <f t="shared" si="191"/>
        <v>-17903.073579954722</v>
      </c>
      <c r="J165" s="5">
        <f t="shared" si="192"/>
        <v>-9090.7326564305004</v>
      </c>
      <c r="K165" s="5">
        <f t="shared" si="205"/>
        <v>-8812.3409235242216</v>
      </c>
      <c r="L165" s="5">
        <f t="shared" si="206"/>
        <v>2718407.4560056259</v>
      </c>
      <c r="M165" s="199"/>
      <c r="N165" s="16">
        <f t="shared" ca="1" si="207"/>
        <v>0</v>
      </c>
      <c r="O165" s="508">
        <f t="shared" ca="1" si="193"/>
        <v>0</v>
      </c>
      <c r="P165" s="16">
        <f t="shared" ca="1" si="194"/>
        <v>0</v>
      </c>
      <c r="Q165" s="17">
        <f t="shared" ref="Q165:Q173" si="239">+Q164+1</f>
        <v>4</v>
      </c>
      <c r="R165" s="18">
        <f t="shared" si="222"/>
        <v>44287</v>
      </c>
      <c r="S165" s="10">
        <f t="shared" si="208"/>
        <v>0.04</v>
      </c>
      <c r="T165" s="14" t="str">
        <f t="shared" ca="1" si="209"/>
        <v>I/O</v>
      </c>
      <c r="U165" s="5">
        <f t="shared" ca="1" si="210"/>
        <v>500000</v>
      </c>
      <c r="V165" s="5">
        <f t="shared" ca="1" si="195"/>
        <v>-1666.6666666666667</v>
      </c>
      <c r="W165" s="5">
        <f t="shared" ca="1" si="196"/>
        <v>-1666.6666666666667</v>
      </c>
      <c r="X165" s="5">
        <f t="shared" ca="1" si="211"/>
        <v>0</v>
      </c>
      <c r="Y165" s="5">
        <f t="shared" ca="1" si="212"/>
        <v>500000</v>
      </c>
      <c r="Z165" s="199"/>
      <c r="AA165" s="16">
        <f t="shared" ca="1" si="200"/>
        <v>13</v>
      </c>
      <c r="AB165" s="508">
        <f t="shared" ca="1" si="197"/>
        <v>147</v>
      </c>
      <c r="AC165" s="16">
        <f>+AC164</f>
        <v>13</v>
      </c>
      <c r="AD165" s="17">
        <f t="shared" ref="AD165:AD173" si="240">+AD164+1</f>
        <v>4</v>
      </c>
      <c r="AE165" s="18">
        <f t="shared" ca="1" si="223"/>
        <v>48884</v>
      </c>
      <c r="AF165" s="10">
        <f>IF(Dashboard!$R$24="Float",AF164+Dashboard!$R$24/12,AF164)</f>
        <v>0.06</v>
      </c>
      <c r="AG165" s="14">
        <f t="shared" si="213"/>
        <v>148</v>
      </c>
      <c r="AH165" s="5">
        <f t="shared" si="214"/>
        <v>0</v>
      </c>
      <c r="AI165" s="5">
        <f t="shared" si="198"/>
        <v>0</v>
      </c>
      <c r="AJ165" s="5">
        <f t="shared" si="199"/>
        <v>0</v>
      </c>
      <c r="AK165" s="5">
        <f t="shared" si="215"/>
        <v>0</v>
      </c>
      <c r="AL165" s="5">
        <f t="shared" si="216"/>
        <v>0</v>
      </c>
      <c r="AM165" s="199"/>
      <c r="AN165" s="16">
        <f>+AN164</f>
        <v>14</v>
      </c>
      <c r="AO165" s="17">
        <f t="shared" ref="AO165:AO173" si="241">+AO164+1</f>
        <v>4</v>
      </c>
      <c r="AP165" s="18">
        <f t="shared" ca="1" si="224"/>
        <v>48884</v>
      </c>
      <c r="AQ165" s="10">
        <f>IF(Dashboard!$S$20="Float",AQ164+Dashboard!$T$20/12,AQ164)</f>
        <v>4.4999999999999998E-2</v>
      </c>
      <c r="AR165" s="14">
        <f t="shared" si="217"/>
        <v>148</v>
      </c>
      <c r="AS165" s="5">
        <f t="shared" si="218"/>
        <v>2654447.6964334059</v>
      </c>
      <c r="AT165" s="5">
        <f t="shared" si="201"/>
        <v>-18117.07145554385</v>
      </c>
      <c r="AU165" s="5">
        <f t="shared" si="202"/>
        <v>-9954.1788616252725</v>
      </c>
      <c r="AV165" s="5">
        <f t="shared" si="219"/>
        <v>-8162.8925939185774</v>
      </c>
      <c r="AW165" s="5">
        <f t="shared" si="220"/>
        <v>2646284.8038394875</v>
      </c>
      <c r="AX165" s="199"/>
    </row>
    <row r="166" spans="1:50">
      <c r="A166" s="73"/>
      <c r="B166" s="572"/>
      <c r="C166" s="16">
        <f t="shared" ref="C166:C173" si="242">+C165</f>
        <v>13</v>
      </c>
      <c r="D166" s="17">
        <f t="shared" si="238"/>
        <v>5</v>
      </c>
      <c r="E166" s="18">
        <f t="shared" ca="1" si="221"/>
        <v>48914</v>
      </c>
      <c r="F166" s="10">
        <f>IF(Dashboard!$Q$5="Float",F165+Dashboard!$R$5/12,F165)</f>
        <v>0.04</v>
      </c>
      <c r="G166" s="14">
        <f t="shared" si="203"/>
        <v>149</v>
      </c>
      <c r="H166" s="5">
        <f t="shared" si="204"/>
        <v>2718407.4560056259</v>
      </c>
      <c r="I166" s="5">
        <f t="shared" si="191"/>
        <v>-17903.073579954722</v>
      </c>
      <c r="J166" s="5">
        <f t="shared" si="192"/>
        <v>-9061.3581866854202</v>
      </c>
      <c r="K166" s="5">
        <f t="shared" si="205"/>
        <v>-8841.7153932693018</v>
      </c>
      <c r="L166" s="5">
        <f t="shared" si="206"/>
        <v>2709565.7406123565</v>
      </c>
      <c r="M166" s="199"/>
      <c r="N166" s="16">
        <f t="shared" ca="1" si="207"/>
        <v>0</v>
      </c>
      <c r="O166" s="508">
        <f t="shared" ca="1" si="193"/>
        <v>0</v>
      </c>
      <c r="P166" s="16">
        <f t="shared" ca="1" si="194"/>
        <v>0</v>
      </c>
      <c r="Q166" s="17">
        <f t="shared" si="239"/>
        <v>5</v>
      </c>
      <c r="R166" s="18">
        <f t="shared" si="222"/>
        <v>44317</v>
      </c>
      <c r="S166" s="10">
        <f t="shared" si="208"/>
        <v>0.04</v>
      </c>
      <c r="T166" s="14" t="str">
        <f t="shared" ca="1" si="209"/>
        <v>I/O</v>
      </c>
      <c r="U166" s="5">
        <f t="shared" ca="1" si="210"/>
        <v>500000</v>
      </c>
      <c r="V166" s="5">
        <f t="shared" ca="1" si="195"/>
        <v>-1666.6666666666667</v>
      </c>
      <c r="W166" s="5">
        <f t="shared" ca="1" si="196"/>
        <v>-1666.6666666666667</v>
      </c>
      <c r="X166" s="5">
        <f t="shared" ca="1" si="211"/>
        <v>0</v>
      </c>
      <c r="Y166" s="5">
        <f t="shared" ca="1" si="212"/>
        <v>500000</v>
      </c>
      <c r="Z166" s="199"/>
      <c r="AA166" s="16">
        <f t="shared" ca="1" si="200"/>
        <v>13</v>
      </c>
      <c r="AB166" s="508">
        <f t="shared" ca="1" si="197"/>
        <v>148</v>
      </c>
      <c r="AC166" s="16">
        <f t="shared" ref="AC166:AC173" si="243">+AC165</f>
        <v>13</v>
      </c>
      <c r="AD166" s="17">
        <f t="shared" si="240"/>
        <v>5</v>
      </c>
      <c r="AE166" s="18">
        <f t="shared" ca="1" si="223"/>
        <v>48914</v>
      </c>
      <c r="AF166" s="10">
        <f>IF(Dashboard!$R$24="Float",AF165+Dashboard!$R$24/12,AF165)</f>
        <v>0.06</v>
      </c>
      <c r="AG166" s="14">
        <f t="shared" si="213"/>
        <v>149</v>
      </c>
      <c r="AH166" s="5">
        <f t="shared" si="214"/>
        <v>0</v>
      </c>
      <c r="AI166" s="5">
        <f t="shared" si="198"/>
        <v>0</v>
      </c>
      <c r="AJ166" s="5">
        <f t="shared" si="199"/>
        <v>0</v>
      </c>
      <c r="AK166" s="5">
        <f t="shared" si="215"/>
        <v>0</v>
      </c>
      <c r="AL166" s="5">
        <f t="shared" si="216"/>
        <v>0</v>
      </c>
      <c r="AM166" s="199"/>
      <c r="AN166" s="16">
        <f t="shared" ref="AN166:AN173" si="244">+AN165</f>
        <v>14</v>
      </c>
      <c r="AO166" s="17">
        <f t="shared" si="241"/>
        <v>5</v>
      </c>
      <c r="AP166" s="18">
        <f t="shared" ca="1" si="224"/>
        <v>48914</v>
      </c>
      <c r="AQ166" s="10">
        <f>IF(Dashboard!$S$20="Float",AQ165+Dashboard!$T$20/12,AQ165)</f>
        <v>4.4999999999999998E-2</v>
      </c>
      <c r="AR166" s="14">
        <f t="shared" si="217"/>
        <v>149</v>
      </c>
      <c r="AS166" s="5">
        <f t="shared" si="218"/>
        <v>2646284.8038394875</v>
      </c>
      <c r="AT166" s="5">
        <f t="shared" si="201"/>
        <v>-18117.071455543854</v>
      </c>
      <c r="AU166" s="5">
        <f t="shared" si="202"/>
        <v>-9923.5680143980771</v>
      </c>
      <c r="AV166" s="5">
        <f t="shared" si="219"/>
        <v>-8193.5034411457764</v>
      </c>
      <c r="AW166" s="5">
        <f t="shared" si="220"/>
        <v>2638091.3003983418</v>
      </c>
      <c r="AX166" s="199"/>
    </row>
    <row r="167" spans="1:50">
      <c r="A167" s="73"/>
      <c r="B167" s="572"/>
      <c r="C167" s="16">
        <f t="shared" si="242"/>
        <v>13</v>
      </c>
      <c r="D167" s="17">
        <f t="shared" si="238"/>
        <v>6</v>
      </c>
      <c r="E167" s="18">
        <f t="shared" ca="1" si="221"/>
        <v>48945</v>
      </c>
      <c r="F167" s="10">
        <f>IF(Dashboard!$Q$5="Float",F166+Dashboard!$R$5/12,F166)</f>
        <v>0.04</v>
      </c>
      <c r="G167" s="14">
        <f t="shared" si="203"/>
        <v>150</v>
      </c>
      <c r="H167" s="5">
        <f t="shared" si="204"/>
        <v>2709565.7406123565</v>
      </c>
      <c r="I167" s="5">
        <f t="shared" si="191"/>
        <v>-17903.073579954718</v>
      </c>
      <c r="J167" s="5">
        <f t="shared" si="192"/>
        <v>-9031.8858020411881</v>
      </c>
      <c r="K167" s="5">
        <f t="shared" si="205"/>
        <v>-8871.1877779135302</v>
      </c>
      <c r="L167" s="5">
        <f t="shared" si="206"/>
        <v>2700694.5528344428</v>
      </c>
      <c r="M167" s="199"/>
      <c r="N167" s="16">
        <f t="shared" ca="1" si="207"/>
        <v>0</v>
      </c>
      <c r="O167" s="508">
        <f t="shared" ca="1" si="193"/>
        <v>0</v>
      </c>
      <c r="P167" s="16">
        <f t="shared" ca="1" si="194"/>
        <v>0</v>
      </c>
      <c r="Q167" s="17">
        <f t="shared" si="239"/>
        <v>6</v>
      </c>
      <c r="R167" s="18">
        <f t="shared" si="222"/>
        <v>44348</v>
      </c>
      <c r="S167" s="10">
        <f t="shared" si="208"/>
        <v>0.04</v>
      </c>
      <c r="T167" s="14" t="str">
        <f t="shared" ca="1" si="209"/>
        <v>I/O</v>
      </c>
      <c r="U167" s="5">
        <f t="shared" ca="1" si="210"/>
        <v>500000</v>
      </c>
      <c r="V167" s="5">
        <f t="shared" ca="1" si="195"/>
        <v>-1666.6666666666667</v>
      </c>
      <c r="W167" s="5">
        <f t="shared" ca="1" si="196"/>
        <v>-1666.6666666666667</v>
      </c>
      <c r="X167" s="5">
        <f t="shared" ca="1" si="211"/>
        <v>0</v>
      </c>
      <c r="Y167" s="5">
        <f t="shared" ca="1" si="212"/>
        <v>500000</v>
      </c>
      <c r="Z167" s="199"/>
      <c r="AA167" s="16">
        <f t="shared" ca="1" si="200"/>
        <v>13</v>
      </c>
      <c r="AB167" s="508">
        <f t="shared" ca="1" si="197"/>
        <v>149</v>
      </c>
      <c r="AC167" s="16">
        <f t="shared" si="243"/>
        <v>13</v>
      </c>
      <c r="AD167" s="17">
        <f t="shared" si="240"/>
        <v>6</v>
      </c>
      <c r="AE167" s="18">
        <f t="shared" ca="1" si="223"/>
        <v>48945</v>
      </c>
      <c r="AF167" s="10">
        <f>IF(Dashboard!$R$24="Float",AF166+Dashboard!$R$24/12,AF166)</f>
        <v>0.06</v>
      </c>
      <c r="AG167" s="14">
        <f t="shared" si="213"/>
        <v>150</v>
      </c>
      <c r="AH167" s="5">
        <f t="shared" si="214"/>
        <v>0</v>
      </c>
      <c r="AI167" s="5">
        <f t="shared" si="198"/>
        <v>0</v>
      </c>
      <c r="AJ167" s="5">
        <f t="shared" si="199"/>
        <v>0</v>
      </c>
      <c r="AK167" s="5">
        <f t="shared" si="215"/>
        <v>0</v>
      </c>
      <c r="AL167" s="5">
        <f t="shared" si="216"/>
        <v>0</v>
      </c>
      <c r="AM167" s="199"/>
      <c r="AN167" s="16">
        <f t="shared" si="244"/>
        <v>14</v>
      </c>
      <c r="AO167" s="17">
        <f t="shared" si="241"/>
        <v>6</v>
      </c>
      <c r="AP167" s="18">
        <f t="shared" ca="1" si="224"/>
        <v>48945</v>
      </c>
      <c r="AQ167" s="10">
        <f>IF(Dashboard!$S$20="Float",AQ166+Dashboard!$T$20/12,AQ166)</f>
        <v>4.4999999999999998E-2</v>
      </c>
      <c r="AR167" s="14">
        <f t="shared" si="217"/>
        <v>150</v>
      </c>
      <c r="AS167" s="5">
        <f t="shared" si="218"/>
        <v>2638091.3003983418</v>
      </c>
      <c r="AT167" s="5">
        <f t="shared" si="201"/>
        <v>-18117.071455543857</v>
      </c>
      <c r="AU167" s="5">
        <f t="shared" si="202"/>
        <v>-9892.8423764937816</v>
      </c>
      <c r="AV167" s="5">
        <f t="shared" si="219"/>
        <v>-8224.2290790500756</v>
      </c>
      <c r="AW167" s="5">
        <f t="shared" si="220"/>
        <v>2629867.0713192918</v>
      </c>
      <c r="AX167" s="199"/>
    </row>
    <row r="168" spans="1:50">
      <c r="A168" s="73"/>
      <c r="B168" s="572"/>
      <c r="C168" s="16">
        <f t="shared" si="242"/>
        <v>13</v>
      </c>
      <c r="D168" s="17">
        <f t="shared" si="238"/>
        <v>7</v>
      </c>
      <c r="E168" s="18">
        <f t="shared" ca="1" si="221"/>
        <v>48976</v>
      </c>
      <c r="F168" s="10">
        <f>IF(Dashboard!$Q$5="Float",F167+Dashboard!$R$5/12,F167)</f>
        <v>0.04</v>
      </c>
      <c r="G168" s="14">
        <f t="shared" si="203"/>
        <v>151</v>
      </c>
      <c r="H168" s="5">
        <f t="shared" si="204"/>
        <v>2700694.5528344428</v>
      </c>
      <c r="I168" s="5">
        <f t="shared" si="191"/>
        <v>-17903.073579954715</v>
      </c>
      <c r="J168" s="5">
        <f t="shared" si="192"/>
        <v>-9002.3151761148092</v>
      </c>
      <c r="K168" s="5">
        <f t="shared" si="205"/>
        <v>-8900.7584038399054</v>
      </c>
      <c r="L168" s="5">
        <f t="shared" si="206"/>
        <v>2691793.7944306028</v>
      </c>
      <c r="M168" s="199"/>
      <c r="N168" s="16">
        <f t="shared" ca="1" si="207"/>
        <v>0</v>
      </c>
      <c r="O168" s="508">
        <f t="shared" ca="1" si="193"/>
        <v>0</v>
      </c>
      <c r="P168" s="16">
        <f t="shared" ca="1" si="194"/>
        <v>0</v>
      </c>
      <c r="Q168" s="17">
        <f t="shared" si="239"/>
        <v>7</v>
      </c>
      <c r="R168" s="18">
        <f t="shared" si="222"/>
        <v>44378</v>
      </c>
      <c r="S168" s="10">
        <f t="shared" si="208"/>
        <v>0.04</v>
      </c>
      <c r="T168" s="14" t="str">
        <f t="shared" ca="1" si="209"/>
        <v>I/O</v>
      </c>
      <c r="U168" s="5">
        <f t="shared" ca="1" si="210"/>
        <v>500000</v>
      </c>
      <c r="V168" s="5">
        <f t="shared" ca="1" si="195"/>
        <v>-1666.6666666666667</v>
      </c>
      <c r="W168" s="5">
        <f t="shared" ca="1" si="196"/>
        <v>-1666.6666666666667</v>
      </c>
      <c r="X168" s="5">
        <f t="shared" ca="1" si="211"/>
        <v>0</v>
      </c>
      <c r="Y168" s="5">
        <f t="shared" ca="1" si="212"/>
        <v>500000</v>
      </c>
      <c r="Z168" s="199"/>
      <c r="AA168" s="16">
        <f t="shared" ca="1" si="200"/>
        <v>13</v>
      </c>
      <c r="AB168" s="508">
        <f t="shared" ca="1" si="197"/>
        <v>150</v>
      </c>
      <c r="AC168" s="16">
        <f t="shared" si="243"/>
        <v>13</v>
      </c>
      <c r="AD168" s="17">
        <f t="shared" si="240"/>
        <v>7</v>
      </c>
      <c r="AE168" s="18">
        <f t="shared" ca="1" si="223"/>
        <v>48976</v>
      </c>
      <c r="AF168" s="10">
        <f>IF(Dashboard!$R$24="Float",AF167+Dashboard!$R$24/12,AF167)</f>
        <v>0.06</v>
      </c>
      <c r="AG168" s="14">
        <f t="shared" si="213"/>
        <v>151</v>
      </c>
      <c r="AH168" s="5">
        <f t="shared" si="214"/>
        <v>0</v>
      </c>
      <c r="AI168" s="5">
        <f t="shared" si="198"/>
        <v>0</v>
      </c>
      <c r="AJ168" s="5">
        <f t="shared" si="199"/>
        <v>0</v>
      </c>
      <c r="AK168" s="5">
        <f t="shared" si="215"/>
        <v>0</v>
      </c>
      <c r="AL168" s="5">
        <f t="shared" si="216"/>
        <v>0</v>
      </c>
      <c r="AM168" s="199"/>
      <c r="AN168" s="16">
        <f t="shared" si="244"/>
        <v>14</v>
      </c>
      <c r="AO168" s="17">
        <f t="shared" si="241"/>
        <v>7</v>
      </c>
      <c r="AP168" s="18">
        <f t="shared" ca="1" si="224"/>
        <v>48976</v>
      </c>
      <c r="AQ168" s="10">
        <f>IF(Dashboard!$S$20="Float",AQ167+Dashboard!$T$20/12,AQ167)</f>
        <v>4.4999999999999998E-2</v>
      </c>
      <c r="AR168" s="14">
        <f t="shared" si="217"/>
        <v>151</v>
      </c>
      <c r="AS168" s="5">
        <f t="shared" si="218"/>
        <v>2629867.0713192918</v>
      </c>
      <c r="AT168" s="5">
        <f t="shared" si="201"/>
        <v>-18117.071455543861</v>
      </c>
      <c r="AU168" s="5">
        <f t="shared" si="202"/>
        <v>-9862.0015174473428</v>
      </c>
      <c r="AV168" s="5">
        <f t="shared" si="219"/>
        <v>-8255.0699380965179</v>
      </c>
      <c r="AW168" s="5">
        <f t="shared" si="220"/>
        <v>2621612.0013811952</v>
      </c>
      <c r="AX168" s="199"/>
    </row>
    <row r="169" spans="1:50">
      <c r="A169" s="73"/>
      <c r="B169" s="572"/>
      <c r="C169" s="16">
        <f t="shared" si="242"/>
        <v>13</v>
      </c>
      <c r="D169" s="17">
        <f t="shared" si="238"/>
        <v>8</v>
      </c>
      <c r="E169" s="18">
        <f t="shared" ca="1" si="221"/>
        <v>49004</v>
      </c>
      <c r="F169" s="10">
        <f>IF(Dashboard!$Q$5="Float",F168+Dashboard!$R$5/12,F168)</f>
        <v>0.04</v>
      </c>
      <c r="G169" s="14">
        <f t="shared" si="203"/>
        <v>152</v>
      </c>
      <c r="H169" s="5">
        <f t="shared" si="204"/>
        <v>2691793.7944306028</v>
      </c>
      <c r="I169" s="5">
        <f t="shared" si="191"/>
        <v>-17903.073579954722</v>
      </c>
      <c r="J169" s="5">
        <f t="shared" si="192"/>
        <v>-8972.645981435342</v>
      </c>
      <c r="K169" s="5">
        <f t="shared" si="205"/>
        <v>-8930.4275985193799</v>
      </c>
      <c r="L169" s="5">
        <f t="shared" si="206"/>
        <v>2682863.3668320836</v>
      </c>
      <c r="M169" s="199"/>
      <c r="N169" s="16">
        <f t="shared" ca="1" si="207"/>
        <v>0</v>
      </c>
      <c r="O169" s="508">
        <f t="shared" ca="1" si="193"/>
        <v>0</v>
      </c>
      <c r="P169" s="16">
        <f t="shared" ca="1" si="194"/>
        <v>1</v>
      </c>
      <c r="Q169" s="17">
        <f t="shared" si="239"/>
        <v>8</v>
      </c>
      <c r="R169" s="18">
        <f t="shared" si="222"/>
        <v>44409</v>
      </c>
      <c r="S169" s="10">
        <f t="shared" si="208"/>
        <v>0.04</v>
      </c>
      <c r="T169" s="14" t="str">
        <f t="shared" ca="1" si="209"/>
        <v>I/O</v>
      </c>
      <c r="U169" s="5">
        <f t="shared" ca="1" si="210"/>
        <v>500000</v>
      </c>
      <c r="V169" s="5">
        <f t="shared" ca="1" si="195"/>
        <v>-1666.6666666666667</v>
      </c>
      <c r="W169" s="5">
        <f t="shared" ca="1" si="196"/>
        <v>-1666.6666666666667</v>
      </c>
      <c r="X169" s="5">
        <f t="shared" ca="1" si="211"/>
        <v>0</v>
      </c>
      <c r="Y169" s="5">
        <f t="shared" ca="1" si="212"/>
        <v>500000</v>
      </c>
      <c r="Z169" s="199"/>
      <c r="AA169" s="16">
        <f t="shared" ca="1" si="200"/>
        <v>13</v>
      </c>
      <c r="AB169" s="508">
        <f t="shared" ca="1" si="197"/>
        <v>151</v>
      </c>
      <c r="AC169" s="16">
        <f t="shared" si="243"/>
        <v>13</v>
      </c>
      <c r="AD169" s="17">
        <f t="shared" si="240"/>
        <v>8</v>
      </c>
      <c r="AE169" s="18">
        <f t="shared" ca="1" si="223"/>
        <v>49004</v>
      </c>
      <c r="AF169" s="10">
        <f>IF(Dashboard!$R$24="Float",AF168+Dashboard!$R$24/12,AF168)</f>
        <v>0.06</v>
      </c>
      <c r="AG169" s="14">
        <f t="shared" si="213"/>
        <v>152</v>
      </c>
      <c r="AH169" s="5">
        <f t="shared" si="214"/>
        <v>0</v>
      </c>
      <c r="AI169" s="5">
        <f t="shared" si="198"/>
        <v>0</v>
      </c>
      <c r="AJ169" s="5">
        <f t="shared" si="199"/>
        <v>0</v>
      </c>
      <c r="AK169" s="5">
        <f t="shared" si="215"/>
        <v>0</v>
      </c>
      <c r="AL169" s="5">
        <f t="shared" si="216"/>
        <v>0</v>
      </c>
      <c r="AM169" s="199"/>
      <c r="AN169" s="16">
        <f t="shared" si="244"/>
        <v>14</v>
      </c>
      <c r="AO169" s="17">
        <f t="shared" si="241"/>
        <v>8</v>
      </c>
      <c r="AP169" s="18">
        <f t="shared" ca="1" si="224"/>
        <v>49004</v>
      </c>
      <c r="AQ169" s="10">
        <f>IF(Dashboard!$S$20="Float",AQ168+Dashboard!$T$20/12,AQ168)</f>
        <v>4.4999999999999998E-2</v>
      </c>
      <c r="AR169" s="14">
        <f t="shared" si="217"/>
        <v>152</v>
      </c>
      <c r="AS169" s="5">
        <f t="shared" si="218"/>
        <v>2621612.0013811952</v>
      </c>
      <c r="AT169" s="5">
        <f t="shared" si="201"/>
        <v>-18117.071455543854</v>
      </c>
      <c r="AU169" s="5">
        <f t="shared" si="202"/>
        <v>-9831.0450051794814</v>
      </c>
      <c r="AV169" s="5">
        <f t="shared" si="219"/>
        <v>-8286.0264503643721</v>
      </c>
      <c r="AW169" s="5">
        <f t="shared" si="220"/>
        <v>2613325.9749308308</v>
      </c>
      <c r="AX169" s="199"/>
    </row>
    <row r="170" spans="1:50">
      <c r="A170" s="73"/>
      <c r="B170" s="572"/>
      <c r="C170" s="16">
        <f t="shared" si="242"/>
        <v>13</v>
      </c>
      <c r="D170" s="17">
        <f t="shared" si="238"/>
        <v>9</v>
      </c>
      <c r="E170" s="18">
        <f t="shared" ca="1" si="221"/>
        <v>49035</v>
      </c>
      <c r="F170" s="10">
        <f>IF(Dashboard!$Q$5="Float",F169+Dashboard!$R$5/12,F169)</f>
        <v>0.04</v>
      </c>
      <c r="G170" s="14">
        <f t="shared" si="203"/>
        <v>153</v>
      </c>
      <c r="H170" s="5">
        <f t="shared" si="204"/>
        <v>2682863.3668320836</v>
      </c>
      <c r="I170" s="5">
        <f t="shared" si="191"/>
        <v>-17903.073579954718</v>
      </c>
      <c r="J170" s="5">
        <f t="shared" si="192"/>
        <v>-8942.8778894402785</v>
      </c>
      <c r="K170" s="5">
        <f t="shared" si="205"/>
        <v>-8960.1956905144398</v>
      </c>
      <c r="L170" s="5">
        <f t="shared" si="206"/>
        <v>2673903.171141569</v>
      </c>
      <c r="M170" s="199"/>
      <c r="N170" s="16">
        <f t="shared" ca="1" si="207"/>
        <v>1</v>
      </c>
      <c r="O170" s="508">
        <f t="shared" ca="1" si="193"/>
        <v>1</v>
      </c>
      <c r="P170" s="16">
        <f t="shared" ca="1" si="194"/>
        <v>1</v>
      </c>
      <c r="Q170" s="17">
        <f t="shared" si="239"/>
        <v>9</v>
      </c>
      <c r="R170" s="18">
        <f t="shared" si="222"/>
        <v>44440</v>
      </c>
      <c r="S170" s="10">
        <f t="shared" si="208"/>
        <v>0.04</v>
      </c>
      <c r="T170" s="14" t="str">
        <f t="shared" ca="1" si="209"/>
        <v>I/O</v>
      </c>
      <c r="U170" s="5">
        <f t="shared" ca="1" si="210"/>
        <v>500000</v>
      </c>
      <c r="V170" s="5">
        <f t="shared" ca="1" si="195"/>
        <v>-1666.6666666666667</v>
      </c>
      <c r="W170" s="5">
        <f t="shared" ca="1" si="196"/>
        <v>-1666.6666666666667</v>
      </c>
      <c r="X170" s="5">
        <f t="shared" ca="1" si="211"/>
        <v>0</v>
      </c>
      <c r="Y170" s="5">
        <f t="shared" ca="1" si="212"/>
        <v>500000</v>
      </c>
      <c r="Z170" s="199"/>
      <c r="AA170" s="16">
        <f t="shared" ca="1" si="200"/>
        <v>13</v>
      </c>
      <c r="AB170" s="508">
        <f t="shared" ca="1" si="197"/>
        <v>152</v>
      </c>
      <c r="AC170" s="16">
        <f t="shared" si="243"/>
        <v>13</v>
      </c>
      <c r="AD170" s="17">
        <f t="shared" si="240"/>
        <v>9</v>
      </c>
      <c r="AE170" s="18">
        <f t="shared" ca="1" si="223"/>
        <v>49035</v>
      </c>
      <c r="AF170" s="10">
        <f>IF(Dashboard!$R$24="Float",AF169+Dashboard!$R$24/12,AF169)</f>
        <v>0.06</v>
      </c>
      <c r="AG170" s="14">
        <f t="shared" si="213"/>
        <v>153</v>
      </c>
      <c r="AH170" s="5">
        <f t="shared" si="214"/>
        <v>0</v>
      </c>
      <c r="AI170" s="5">
        <f t="shared" si="198"/>
        <v>0</v>
      </c>
      <c r="AJ170" s="5">
        <f t="shared" si="199"/>
        <v>0</v>
      </c>
      <c r="AK170" s="5">
        <f t="shared" si="215"/>
        <v>0</v>
      </c>
      <c r="AL170" s="5">
        <f t="shared" si="216"/>
        <v>0</v>
      </c>
      <c r="AM170" s="199"/>
      <c r="AN170" s="16">
        <f t="shared" si="244"/>
        <v>14</v>
      </c>
      <c r="AO170" s="17">
        <f t="shared" si="241"/>
        <v>9</v>
      </c>
      <c r="AP170" s="18">
        <f t="shared" ca="1" si="224"/>
        <v>49035</v>
      </c>
      <c r="AQ170" s="10">
        <f>IF(Dashboard!$S$20="Float",AQ169+Dashboard!$T$20/12,AQ169)</f>
        <v>4.4999999999999998E-2</v>
      </c>
      <c r="AR170" s="14">
        <f t="shared" si="217"/>
        <v>153</v>
      </c>
      <c r="AS170" s="5">
        <f t="shared" si="218"/>
        <v>2613325.9749308308</v>
      </c>
      <c r="AT170" s="5">
        <f t="shared" si="201"/>
        <v>-18117.071455543854</v>
      </c>
      <c r="AU170" s="5">
        <f t="shared" si="202"/>
        <v>-9799.9724059906148</v>
      </c>
      <c r="AV170" s="5">
        <f t="shared" si="219"/>
        <v>-8317.0990495532387</v>
      </c>
      <c r="AW170" s="5">
        <f t="shared" si="220"/>
        <v>2605008.8758812775</v>
      </c>
      <c r="AX170" s="199"/>
    </row>
    <row r="171" spans="1:50">
      <c r="A171" s="73"/>
      <c r="B171" s="572"/>
      <c r="C171" s="16">
        <f t="shared" si="242"/>
        <v>13</v>
      </c>
      <c r="D171" s="17">
        <f t="shared" si="238"/>
        <v>10</v>
      </c>
      <c r="E171" s="18">
        <f t="shared" ca="1" si="221"/>
        <v>49065</v>
      </c>
      <c r="F171" s="10">
        <f>IF(Dashboard!$Q$5="Float",F170+Dashboard!$R$5/12,F170)</f>
        <v>0.04</v>
      </c>
      <c r="G171" s="14">
        <f t="shared" si="203"/>
        <v>154</v>
      </c>
      <c r="H171" s="5">
        <f t="shared" si="204"/>
        <v>2673903.171141569</v>
      </c>
      <c r="I171" s="5">
        <f t="shared" si="191"/>
        <v>-17903.073579954718</v>
      </c>
      <c r="J171" s="5">
        <f t="shared" si="192"/>
        <v>-8913.0105704718972</v>
      </c>
      <c r="K171" s="5">
        <f t="shared" si="205"/>
        <v>-8990.0630094828211</v>
      </c>
      <c r="L171" s="5">
        <f t="shared" si="206"/>
        <v>2664913.1081320862</v>
      </c>
      <c r="M171" s="199"/>
      <c r="N171" s="16">
        <f t="shared" ca="1" si="207"/>
        <v>1</v>
      </c>
      <c r="O171" s="508">
        <f t="shared" ca="1" si="193"/>
        <v>2</v>
      </c>
      <c r="P171" s="16">
        <f t="shared" ca="1" si="194"/>
        <v>1</v>
      </c>
      <c r="Q171" s="17">
        <f t="shared" si="239"/>
        <v>10</v>
      </c>
      <c r="R171" s="18">
        <f t="shared" si="222"/>
        <v>44470</v>
      </c>
      <c r="S171" s="10">
        <f t="shared" si="208"/>
        <v>0.04</v>
      </c>
      <c r="T171" s="14" t="str">
        <f t="shared" ca="1" si="209"/>
        <v>I/O</v>
      </c>
      <c r="U171" s="5">
        <f t="shared" ca="1" si="210"/>
        <v>500000</v>
      </c>
      <c r="V171" s="5">
        <f t="shared" ca="1" si="195"/>
        <v>-1666.6666666666667</v>
      </c>
      <c r="W171" s="5">
        <f t="shared" ca="1" si="196"/>
        <v>-1666.6666666666667</v>
      </c>
      <c r="X171" s="5">
        <f t="shared" ca="1" si="211"/>
        <v>0</v>
      </c>
      <c r="Y171" s="5">
        <f t="shared" ca="1" si="212"/>
        <v>500000</v>
      </c>
      <c r="Z171" s="199"/>
      <c r="AA171" s="16">
        <f t="shared" ca="1" si="200"/>
        <v>13</v>
      </c>
      <c r="AB171" s="508">
        <f t="shared" ca="1" si="197"/>
        <v>153</v>
      </c>
      <c r="AC171" s="16">
        <f t="shared" si="243"/>
        <v>13</v>
      </c>
      <c r="AD171" s="17">
        <f t="shared" si="240"/>
        <v>10</v>
      </c>
      <c r="AE171" s="18">
        <f t="shared" ca="1" si="223"/>
        <v>49065</v>
      </c>
      <c r="AF171" s="10">
        <f>IF(Dashboard!$R$24="Float",AF170+Dashboard!$R$24/12,AF170)</f>
        <v>0.06</v>
      </c>
      <c r="AG171" s="14">
        <f t="shared" si="213"/>
        <v>154</v>
      </c>
      <c r="AH171" s="5">
        <f t="shared" si="214"/>
        <v>0</v>
      </c>
      <c r="AI171" s="5">
        <f t="shared" si="198"/>
        <v>0</v>
      </c>
      <c r="AJ171" s="5">
        <f t="shared" si="199"/>
        <v>0</v>
      </c>
      <c r="AK171" s="5">
        <f t="shared" si="215"/>
        <v>0</v>
      </c>
      <c r="AL171" s="5">
        <f t="shared" si="216"/>
        <v>0</v>
      </c>
      <c r="AM171" s="199"/>
      <c r="AN171" s="16">
        <f t="shared" si="244"/>
        <v>14</v>
      </c>
      <c r="AO171" s="17">
        <f t="shared" si="241"/>
        <v>10</v>
      </c>
      <c r="AP171" s="18">
        <f t="shared" ca="1" si="224"/>
        <v>49065</v>
      </c>
      <c r="AQ171" s="10">
        <f>IF(Dashboard!$S$20="Float",AQ170+Dashboard!$T$20/12,AQ170)</f>
        <v>4.4999999999999998E-2</v>
      </c>
      <c r="AR171" s="14">
        <f t="shared" si="217"/>
        <v>154</v>
      </c>
      <c r="AS171" s="5">
        <f t="shared" si="218"/>
        <v>2605008.8758812775</v>
      </c>
      <c r="AT171" s="5">
        <f t="shared" si="201"/>
        <v>-18117.071455543854</v>
      </c>
      <c r="AU171" s="5">
        <f t="shared" si="202"/>
        <v>-9768.783284554791</v>
      </c>
      <c r="AV171" s="5">
        <f t="shared" si="219"/>
        <v>-8348.2881709890626</v>
      </c>
      <c r="AW171" s="5">
        <f t="shared" si="220"/>
        <v>2596660.5877102884</v>
      </c>
      <c r="AX171" s="199"/>
    </row>
    <row r="172" spans="1:50">
      <c r="A172" s="73"/>
      <c r="B172" s="572"/>
      <c r="C172" s="16">
        <f t="shared" si="242"/>
        <v>13</v>
      </c>
      <c r="D172" s="17">
        <f t="shared" si="238"/>
        <v>11</v>
      </c>
      <c r="E172" s="18">
        <f t="shared" ca="1" si="221"/>
        <v>49096</v>
      </c>
      <c r="F172" s="10">
        <f>IF(Dashboard!$Q$5="Float",F171+Dashboard!$R$5/12,F171)</f>
        <v>0.04</v>
      </c>
      <c r="G172" s="14">
        <f t="shared" si="203"/>
        <v>155</v>
      </c>
      <c r="H172" s="5">
        <f t="shared" si="204"/>
        <v>2664913.1081320862</v>
      </c>
      <c r="I172" s="5">
        <f t="shared" si="191"/>
        <v>-17903.073579954722</v>
      </c>
      <c r="J172" s="5">
        <f t="shared" si="192"/>
        <v>-8883.0436937736213</v>
      </c>
      <c r="K172" s="5">
        <f t="shared" si="205"/>
        <v>-9020.0298861811007</v>
      </c>
      <c r="L172" s="5">
        <f t="shared" si="206"/>
        <v>2655893.0782459052</v>
      </c>
      <c r="M172" s="199"/>
      <c r="N172" s="16">
        <f t="shared" ca="1" si="207"/>
        <v>1</v>
      </c>
      <c r="O172" s="508">
        <f t="shared" ca="1" si="193"/>
        <v>3</v>
      </c>
      <c r="P172" s="16">
        <f t="shared" ca="1" si="194"/>
        <v>1</v>
      </c>
      <c r="Q172" s="17">
        <f t="shared" si="239"/>
        <v>11</v>
      </c>
      <c r="R172" s="18">
        <f t="shared" si="222"/>
        <v>44501</v>
      </c>
      <c r="S172" s="10">
        <f t="shared" si="208"/>
        <v>0.04</v>
      </c>
      <c r="T172" s="14" t="str">
        <f t="shared" ca="1" si="209"/>
        <v>I/O</v>
      </c>
      <c r="U172" s="5">
        <f t="shared" ca="1" si="210"/>
        <v>500000</v>
      </c>
      <c r="V172" s="5">
        <f t="shared" ca="1" si="195"/>
        <v>-1666.6666666666667</v>
      </c>
      <c r="W172" s="5">
        <f t="shared" ca="1" si="196"/>
        <v>-1666.6666666666667</v>
      </c>
      <c r="X172" s="5">
        <f t="shared" ca="1" si="211"/>
        <v>0</v>
      </c>
      <c r="Y172" s="5">
        <f t="shared" ca="1" si="212"/>
        <v>500000</v>
      </c>
      <c r="Z172" s="199"/>
      <c r="AA172" s="16">
        <f t="shared" ca="1" si="200"/>
        <v>13</v>
      </c>
      <c r="AB172" s="508">
        <f t="shared" ca="1" si="197"/>
        <v>154</v>
      </c>
      <c r="AC172" s="16">
        <f t="shared" si="243"/>
        <v>13</v>
      </c>
      <c r="AD172" s="17">
        <f t="shared" si="240"/>
        <v>11</v>
      </c>
      <c r="AE172" s="18">
        <f t="shared" ca="1" si="223"/>
        <v>49096</v>
      </c>
      <c r="AF172" s="10">
        <f>IF(Dashboard!$R$24="Float",AF171+Dashboard!$R$24/12,AF171)</f>
        <v>0.06</v>
      </c>
      <c r="AG172" s="14">
        <f t="shared" si="213"/>
        <v>155</v>
      </c>
      <c r="AH172" s="5">
        <f t="shared" si="214"/>
        <v>0</v>
      </c>
      <c r="AI172" s="5">
        <f t="shared" si="198"/>
        <v>0</v>
      </c>
      <c r="AJ172" s="5">
        <f t="shared" si="199"/>
        <v>0</v>
      </c>
      <c r="AK172" s="5">
        <f t="shared" si="215"/>
        <v>0</v>
      </c>
      <c r="AL172" s="5">
        <f t="shared" si="216"/>
        <v>0</v>
      </c>
      <c r="AM172" s="199"/>
      <c r="AN172" s="16">
        <f t="shared" si="244"/>
        <v>14</v>
      </c>
      <c r="AO172" s="17">
        <f t="shared" si="241"/>
        <v>11</v>
      </c>
      <c r="AP172" s="18">
        <f t="shared" ca="1" si="224"/>
        <v>49096</v>
      </c>
      <c r="AQ172" s="10">
        <f>IF(Dashboard!$S$20="Float",AQ171+Dashboard!$T$20/12,AQ171)</f>
        <v>4.4999999999999998E-2</v>
      </c>
      <c r="AR172" s="14">
        <f t="shared" si="217"/>
        <v>155</v>
      </c>
      <c r="AS172" s="5">
        <f t="shared" si="218"/>
        <v>2596660.5877102884</v>
      </c>
      <c r="AT172" s="5">
        <f t="shared" si="201"/>
        <v>-18117.071455543854</v>
      </c>
      <c r="AU172" s="5">
        <f t="shared" si="202"/>
        <v>-9737.4772039135805</v>
      </c>
      <c r="AV172" s="5">
        <f t="shared" si="219"/>
        <v>-8379.594251630273</v>
      </c>
      <c r="AW172" s="5">
        <f t="shared" si="220"/>
        <v>2588280.993458658</v>
      </c>
      <c r="AX172" s="199"/>
    </row>
    <row r="173" spans="1:50">
      <c r="A173" s="73"/>
      <c r="B173" s="572"/>
      <c r="C173" s="16">
        <f t="shared" si="242"/>
        <v>13</v>
      </c>
      <c r="D173" s="17">
        <f t="shared" si="238"/>
        <v>12</v>
      </c>
      <c r="E173" s="18">
        <f t="shared" ca="1" si="221"/>
        <v>49126</v>
      </c>
      <c r="F173" s="10">
        <f>IF(Dashboard!$Q$5="Float",F172+Dashboard!$R$5/12,F172)</f>
        <v>0.04</v>
      </c>
      <c r="G173" s="14">
        <f t="shared" si="203"/>
        <v>156</v>
      </c>
      <c r="H173" s="5">
        <f t="shared" si="204"/>
        <v>2655893.0782459052</v>
      </c>
      <c r="I173" s="5">
        <f t="shared" si="191"/>
        <v>-17903.073579954718</v>
      </c>
      <c r="J173" s="5">
        <f t="shared" si="192"/>
        <v>-8852.976927486352</v>
      </c>
      <c r="K173" s="5">
        <f t="shared" si="205"/>
        <v>-9050.0966524683663</v>
      </c>
      <c r="L173" s="5">
        <f t="shared" si="206"/>
        <v>2646842.981593437</v>
      </c>
      <c r="M173" s="199"/>
      <c r="N173" s="16">
        <f t="shared" ca="1" si="207"/>
        <v>1</v>
      </c>
      <c r="O173" s="508">
        <f t="shared" ca="1" si="193"/>
        <v>4</v>
      </c>
      <c r="P173" s="16">
        <f t="shared" ca="1" si="194"/>
        <v>1</v>
      </c>
      <c r="Q173" s="17">
        <f t="shared" si="239"/>
        <v>12</v>
      </c>
      <c r="R173" s="18">
        <f t="shared" si="222"/>
        <v>44531</v>
      </c>
      <c r="S173" s="10">
        <f t="shared" si="208"/>
        <v>0.04</v>
      </c>
      <c r="T173" s="14" t="str">
        <f t="shared" ca="1" si="209"/>
        <v>I/O</v>
      </c>
      <c r="U173" s="5">
        <f t="shared" ca="1" si="210"/>
        <v>500000</v>
      </c>
      <c r="V173" s="5">
        <f t="shared" ca="1" si="195"/>
        <v>-1666.6666666666667</v>
      </c>
      <c r="W173" s="5">
        <f t="shared" ca="1" si="196"/>
        <v>-1666.6666666666667</v>
      </c>
      <c r="X173" s="5">
        <f t="shared" ca="1" si="211"/>
        <v>0</v>
      </c>
      <c r="Y173" s="5">
        <f t="shared" ca="1" si="212"/>
        <v>500000</v>
      </c>
      <c r="Z173" s="199"/>
      <c r="AA173" s="16">
        <f t="shared" ca="1" si="200"/>
        <v>13</v>
      </c>
      <c r="AB173" s="508">
        <f t="shared" ca="1" si="197"/>
        <v>155</v>
      </c>
      <c r="AC173" s="16">
        <f t="shared" si="243"/>
        <v>13</v>
      </c>
      <c r="AD173" s="17">
        <f t="shared" si="240"/>
        <v>12</v>
      </c>
      <c r="AE173" s="18">
        <f t="shared" ca="1" si="223"/>
        <v>49126</v>
      </c>
      <c r="AF173" s="10">
        <f>IF(Dashboard!$R$24="Float",AF172+Dashboard!$R$24/12,AF172)</f>
        <v>0.06</v>
      </c>
      <c r="AG173" s="14">
        <f t="shared" si="213"/>
        <v>156</v>
      </c>
      <c r="AH173" s="5">
        <f t="shared" si="214"/>
        <v>0</v>
      </c>
      <c r="AI173" s="5">
        <f t="shared" si="198"/>
        <v>0</v>
      </c>
      <c r="AJ173" s="5">
        <f t="shared" si="199"/>
        <v>0</v>
      </c>
      <c r="AK173" s="5">
        <f t="shared" si="215"/>
        <v>0</v>
      </c>
      <c r="AL173" s="5">
        <f t="shared" si="216"/>
        <v>0</v>
      </c>
      <c r="AM173" s="199"/>
      <c r="AN173" s="16">
        <f t="shared" si="244"/>
        <v>14</v>
      </c>
      <c r="AO173" s="17">
        <f t="shared" si="241"/>
        <v>12</v>
      </c>
      <c r="AP173" s="18">
        <f t="shared" ca="1" si="224"/>
        <v>49126</v>
      </c>
      <c r="AQ173" s="10">
        <f>IF(Dashboard!$S$20="Float",AQ172+Dashboard!$T$20/12,AQ172)</f>
        <v>4.4999999999999998E-2</v>
      </c>
      <c r="AR173" s="14">
        <f t="shared" si="217"/>
        <v>156</v>
      </c>
      <c r="AS173" s="5">
        <f t="shared" si="218"/>
        <v>2588280.993458658</v>
      </c>
      <c r="AT173" s="5">
        <f t="shared" si="201"/>
        <v>-18117.071455543854</v>
      </c>
      <c r="AU173" s="5">
        <f t="shared" si="202"/>
        <v>-9706.0537254699666</v>
      </c>
      <c r="AV173" s="5">
        <f t="shared" si="219"/>
        <v>-8411.0177300738869</v>
      </c>
      <c r="AW173" s="5">
        <f t="shared" si="220"/>
        <v>2579869.975728584</v>
      </c>
      <c r="AX173" s="199"/>
    </row>
    <row r="174" spans="1:50" ht="12.75" customHeight="1">
      <c r="A174" s="73"/>
      <c r="B174" s="570">
        <f>+C174</f>
        <v>14</v>
      </c>
      <c r="C174" s="200">
        <f t="shared" ref="C174" si="245">+C173+1</f>
        <v>14</v>
      </c>
      <c r="D174" s="201">
        <v>1</v>
      </c>
      <c r="E174" s="202">
        <f t="shared" ca="1" si="221"/>
        <v>49157</v>
      </c>
      <c r="F174" s="203">
        <f>IF(Dashboard!$Q$5="Float",F173+Dashboard!$R$5/12,F173)</f>
        <v>0.04</v>
      </c>
      <c r="G174" s="204">
        <f t="shared" si="203"/>
        <v>157</v>
      </c>
      <c r="H174" s="205">
        <f t="shared" si="204"/>
        <v>2646842.981593437</v>
      </c>
      <c r="I174" s="205">
        <f t="shared" si="191"/>
        <v>-17903.073579954718</v>
      </c>
      <c r="J174" s="205">
        <f t="shared" si="192"/>
        <v>-8822.8099386447902</v>
      </c>
      <c r="K174" s="205">
        <f t="shared" si="205"/>
        <v>-9080.2636413099281</v>
      </c>
      <c r="L174" s="205">
        <f t="shared" si="206"/>
        <v>2637762.7179521271</v>
      </c>
      <c r="M174" s="199"/>
      <c r="N174" s="200">
        <f t="shared" ca="1" si="207"/>
        <v>1</v>
      </c>
      <c r="O174" s="509">
        <f t="shared" ca="1" si="193"/>
        <v>5</v>
      </c>
      <c r="P174" s="200">
        <f t="shared" ca="1" si="194"/>
        <v>1</v>
      </c>
      <c r="Q174" s="201">
        <v>1</v>
      </c>
      <c r="R174" s="202">
        <f t="shared" si="222"/>
        <v>44562</v>
      </c>
      <c r="S174" s="203">
        <f t="shared" si="208"/>
        <v>0.04</v>
      </c>
      <c r="T174" s="204" t="str">
        <f t="shared" ca="1" si="209"/>
        <v>I/O</v>
      </c>
      <c r="U174" s="205">
        <f t="shared" ca="1" si="210"/>
        <v>500000</v>
      </c>
      <c r="V174" s="205">
        <f t="shared" ca="1" si="195"/>
        <v>-1666.6666666666667</v>
      </c>
      <c r="W174" s="205">
        <f t="shared" ca="1" si="196"/>
        <v>-1666.6666666666667</v>
      </c>
      <c r="X174" s="205">
        <f t="shared" ca="1" si="211"/>
        <v>0</v>
      </c>
      <c r="Y174" s="205">
        <f t="shared" ca="1" si="212"/>
        <v>500000</v>
      </c>
      <c r="Z174" s="199"/>
      <c r="AA174" s="200">
        <f t="shared" ca="1" si="200"/>
        <v>13</v>
      </c>
      <c r="AB174" s="509">
        <f t="shared" ca="1" si="197"/>
        <v>156</v>
      </c>
      <c r="AC174" s="200">
        <f t="shared" ref="AC174" si="246">+AC173+1</f>
        <v>14</v>
      </c>
      <c r="AD174" s="201">
        <v>1</v>
      </c>
      <c r="AE174" s="202">
        <f t="shared" ca="1" si="223"/>
        <v>49157</v>
      </c>
      <c r="AF174" s="203">
        <f>IF(Dashboard!$R$24="Float",AF173+Dashboard!$R$24/12,AF173)</f>
        <v>0.06</v>
      </c>
      <c r="AG174" s="204">
        <f t="shared" si="213"/>
        <v>157</v>
      </c>
      <c r="AH174" s="205">
        <f t="shared" si="214"/>
        <v>0</v>
      </c>
      <c r="AI174" s="205">
        <f t="shared" si="198"/>
        <v>0</v>
      </c>
      <c r="AJ174" s="205">
        <f t="shared" si="199"/>
        <v>0</v>
      </c>
      <c r="AK174" s="205">
        <f t="shared" si="215"/>
        <v>0</v>
      </c>
      <c r="AL174" s="205">
        <f t="shared" si="216"/>
        <v>0</v>
      </c>
      <c r="AM174" s="199"/>
      <c r="AN174" s="200">
        <f t="shared" ref="AN174" si="247">+AN173+1</f>
        <v>15</v>
      </c>
      <c r="AO174" s="201">
        <v>1</v>
      </c>
      <c r="AP174" s="202">
        <f t="shared" ca="1" si="224"/>
        <v>49157</v>
      </c>
      <c r="AQ174" s="203">
        <f>IF(Dashboard!$S$20="Float",AQ173+Dashboard!$T$20/12,AQ173)</f>
        <v>4.4999999999999998E-2</v>
      </c>
      <c r="AR174" s="204">
        <f t="shared" si="217"/>
        <v>157</v>
      </c>
      <c r="AS174" s="205">
        <f t="shared" si="218"/>
        <v>2579869.975728584</v>
      </c>
      <c r="AT174" s="205">
        <f t="shared" si="201"/>
        <v>-18117.071455543857</v>
      </c>
      <c r="AU174" s="205">
        <f t="shared" si="202"/>
        <v>-9674.5124089821893</v>
      </c>
      <c r="AV174" s="205">
        <f t="shared" si="219"/>
        <v>-8442.5590465616679</v>
      </c>
      <c r="AW174" s="205">
        <f t="shared" si="220"/>
        <v>2571427.4166820222</v>
      </c>
      <c r="AX174" s="199"/>
    </row>
    <row r="175" spans="1:50">
      <c r="A175" s="73"/>
      <c r="B175" s="570"/>
      <c r="C175" s="200">
        <f>+C174</f>
        <v>14</v>
      </c>
      <c r="D175" s="201">
        <f>+D174+1</f>
        <v>2</v>
      </c>
      <c r="E175" s="202">
        <f t="shared" ca="1" si="221"/>
        <v>49188</v>
      </c>
      <c r="F175" s="203">
        <f>IF(Dashboard!$Q$5="Float",F174+Dashboard!$R$5/12,F174)</f>
        <v>0.04</v>
      </c>
      <c r="G175" s="204">
        <f t="shared" si="203"/>
        <v>158</v>
      </c>
      <c r="H175" s="205">
        <f t="shared" si="204"/>
        <v>2637762.7179521271</v>
      </c>
      <c r="I175" s="205">
        <f t="shared" si="191"/>
        <v>-17903.073579954718</v>
      </c>
      <c r="J175" s="205">
        <f t="shared" si="192"/>
        <v>-8792.5423931737569</v>
      </c>
      <c r="K175" s="205">
        <f t="shared" si="205"/>
        <v>-9110.5311867809614</v>
      </c>
      <c r="L175" s="205">
        <f t="shared" si="206"/>
        <v>2628652.1867653462</v>
      </c>
      <c r="M175" s="199"/>
      <c r="N175" s="200">
        <f t="shared" ca="1" si="207"/>
        <v>1</v>
      </c>
      <c r="O175" s="509">
        <f t="shared" ca="1" si="193"/>
        <v>6</v>
      </c>
      <c r="P175" s="200">
        <f t="shared" ca="1" si="194"/>
        <v>1</v>
      </c>
      <c r="Q175" s="201">
        <f>+Q174+1</f>
        <v>2</v>
      </c>
      <c r="R175" s="202">
        <f t="shared" si="222"/>
        <v>44593</v>
      </c>
      <c r="S175" s="203">
        <f t="shared" si="208"/>
        <v>0.04</v>
      </c>
      <c r="T175" s="204" t="str">
        <f t="shared" ca="1" si="209"/>
        <v>I/O</v>
      </c>
      <c r="U175" s="205">
        <f t="shared" ca="1" si="210"/>
        <v>500000</v>
      </c>
      <c r="V175" s="205">
        <f t="shared" ca="1" si="195"/>
        <v>-1666.6666666666667</v>
      </c>
      <c r="W175" s="205">
        <f t="shared" ca="1" si="196"/>
        <v>-1666.6666666666667</v>
      </c>
      <c r="X175" s="205">
        <f t="shared" ca="1" si="211"/>
        <v>0</v>
      </c>
      <c r="Y175" s="205">
        <f t="shared" ca="1" si="212"/>
        <v>500000</v>
      </c>
      <c r="Z175" s="199"/>
      <c r="AA175" s="200">
        <f t="shared" ca="1" si="200"/>
        <v>14</v>
      </c>
      <c r="AB175" s="509">
        <f t="shared" ca="1" si="197"/>
        <v>157</v>
      </c>
      <c r="AC175" s="200">
        <f>+AC174</f>
        <v>14</v>
      </c>
      <c r="AD175" s="201">
        <f>+AD174+1</f>
        <v>2</v>
      </c>
      <c r="AE175" s="202">
        <f t="shared" ca="1" si="223"/>
        <v>49188</v>
      </c>
      <c r="AF175" s="203">
        <f>IF(Dashboard!$R$24="Float",AF174+Dashboard!$R$24/12,AF174)</f>
        <v>0.06</v>
      </c>
      <c r="AG175" s="204">
        <f t="shared" si="213"/>
        <v>158</v>
      </c>
      <c r="AH175" s="205">
        <f t="shared" si="214"/>
        <v>0</v>
      </c>
      <c r="AI175" s="205">
        <f t="shared" si="198"/>
        <v>0</v>
      </c>
      <c r="AJ175" s="205">
        <f t="shared" si="199"/>
        <v>0</v>
      </c>
      <c r="AK175" s="205">
        <f t="shared" si="215"/>
        <v>0</v>
      </c>
      <c r="AL175" s="205">
        <f t="shared" si="216"/>
        <v>0</v>
      </c>
      <c r="AM175" s="199"/>
      <c r="AN175" s="200">
        <f>+AN174</f>
        <v>15</v>
      </c>
      <c r="AO175" s="201">
        <f>+AO174+1</f>
        <v>2</v>
      </c>
      <c r="AP175" s="202">
        <f t="shared" ca="1" si="224"/>
        <v>49188</v>
      </c>
      <c r="AQ175" s="203">
        <f>IF(Dashboard!$S$20="Float",AQ174+Dashboard!$T$20/12,AQ174)</f>
        <v>4.4999999999999998E-2</v>
      </c>
      <c r="AR175" s="204">
        <f t="shared" si="217"/>
        <v>158</v>
      </c>
      <c r="AS175" s="205">
        <f t="shared" si="218"/>
        <v>2571427.4166820222</v>
      </c>
      <c r="AT175" s="205">
        <f t="shared" si="201"/>
        <v>-18117.071455543846</v>
      </c>
      <c r="AU175" s="205">
        <f t="shared" si="202"/>
        <v>-9642.8528125575831</v>
      </c>
      <c r="AV175" s="205">
        <f t="shared" si="219"/>
        <v>-8474.2186429862631</v>
      </c>
      <c r="AW175" s="205">
        <f t="shared" si="220"/>
        <v>2562953.1980390358</v>
      </c>
      <c r="AX175" s="199"/>
    </row>
    <row r="176" spans="1:50">
      <c r="A176" s="73"/>
      <c r="B176" s="570"/>
      <c r="C176" s="200">
        <f>+C175</f>
        <v>14</v>
      </c>
      <c r="D176" s="201">
        <f>+D175+1</f>
        <v>3</v>
      </c>
      <c r="E176" s="202">
        <f t="shared" ca="1" si="221"/>
        <v>49218</v>
      </c>
      <c r="F176" s="203">
        <f>IF(Dashboard!$Q$5="Float",F175+Dashboard!$R$5/12,F175)</f>
        <v>0.04</v>
      </c>
      <c r="G176" s="204">
        <f t="shared" si="203"/>
        <v>159</v>
      </c>
      <c r="H176" s="205">
        <f t="shared" si="204"/>
        <v>2628652.1867653462</v>
      </c>
      <c r="I176" s="205">
        <f t="shared" si="191"/>
        <v>-17903.073579954718</v>
      </c>
      <c r="J176" s="205">
        <f t="shared" si="192"/>
        <v>-8762.1739558844874</v>
      </c>
      <c r="K176" s="205">
        <f t="shared" si="205"/>
        <v>-9140.8996240702309</v>
      </c>
      <c r="L176" s="205">
        <f t="shared" si="206"/>
        <v>2619511.2871412761</v>
      </c>
      <c r="M176" s="199"/>
      <c r="N176" s="200">
        <f t="shared" ca="1" si="207"/>
        <v>1</v>
      </c>
      <c r="O176" s="509">
        <f t="shared" ca="1" si="193"/>
        <v>7</v>
      </c>
      <c r="P176" s="200">
        <f t="shared" ca="1" si="194"/>
        <v>1</v>
      </c>
      <c r="Q176" s="201">
        <f>+Q175+1</f>
        <v>3</v>
      </c>
      <c r="R176" s="202">
        <f t="shared" si="222"/>
        <v>44621</v>
      </c>
      <c r="S176" s="203">
        <f t="shared" si="208"/>
        <v>0.04</v>
      </c>
      <c r="T176" s="204" t="str">
        <f t="shared" ca="1" si="209"/>
        <v>I/O</v>
      </c>
      <c r="U176" s="205">
        <f t="shared" ca="1" si="210"/>
        <v>500000</v>
      </c>
      <c r="V176" s="205">
        <f t="shared" ca="1" si="195"/>
        <v>-1666.6666666666667</v>
      </c>
      <c r="W176" s="205">
        <f t="shared" ca="1" si="196"/>
        <v>-1666.6666666666667</v>
      </c>
      <c r="X176" s="205">
        <f t="shared" ca="1" si="211"/>
        <v>0</v>
      </c>
      <c r="Y176" s="205">
        <f t="shared" ca="1" si="212"/>
        <v>500000</v>
      </c>
      <c r="Z176" s="199"/>
      <c r="AA176" s="200">
        <f t="shared" ca="1" si="200"/>
        <v>14</v>
      </c>
      <c r="AB176" s="509">
        <f t="shared" ca="1" si="197"/>
        <v>158</v>
      </c>
      <c r="AC176" s="200">
        <f>+AC175</f>
        <v>14</v>
      </c>
      <c r="AD176" s="201">
        <f>+AD175+1</f>
        <v>3</v>
      </c>
      <c r="AE176" s="202">
        <f t="shared" ca="1" si="223"/>
        <v>49218</v>
      </c>
      <c r="AF176" s="203">
        <f>IF(Dashboard!$R$24="Float",AF175+Dashboard!$R$24/12,AF175)</f>
        <v>0.06</v>
      </c>
      <c r="AG176" s="204">
        <f t="shared" si="213"/>
        <v>159</v>
      </c>
      <c r="AH176" s="205">
        <f t="shared" si="214"/>
        <v>0</v>
      </c>
      <c r="AI176" s="205">
        <f t="shared" si="198"/>
        <v>0</v>
      </c>
      <c r="AJ176" s="205">
        <f t="shared" si="199"/>
        <v>0</v>
      </c>
      <c r="AK176" s="205">
        <f t="shared" si="215"/>
        <v>0</v>
      </c>
      <c r="AL176" s="205">
        <f t="shared" si="216"/>
        <v>0</v>
      </c>
      <c r="AM176" s="199"/>
      <c r="AN176" s="200">
        <f>+AN175</f>
        <v>15</v>
      </c>
      <c r="AO176" s="201">
        <f>+AO175+1</f>
        <v>3</v>
      </c>
      <c r="AP176" s="202">
        <f t="shared" ca="1" si="224"/>
        <v>49218</v>
      </c>
      <c r="AQ176" s="203">
        <f>IF(Dashboard!$S$20="Float",AQ175+Dashboard!$T$20/12,AQ175)</f>
        <v>4.4999999999999998E-2</v>
      </c>
      <c r="AR176" s="204">
        <f t="shared" si="217"/>
        <v>159</v>
      </c>
      <c r="AS176" s="205">
        <f t="shared" si="218"/>
        <v>2562953.1980390358</v>
      </c>
      <c r="AT176" s="205">
        <f t="shared" si="201"/>
        <v>-18117.07145554385</v>
      </c>
      <c r="AU176" s="205">
        <f t="shared" si="202"/>
        <v>-9611.0744926463831</v>
      </c>
      <c r="AV176" s="205">
        <f t="shared" si="219"/>
        <v>-8505.9969628974668</v>
      </c>
      <c r="AW176" s="205">
        <f t="shared" si="220"/>
        <v>2554447.2010761383</v>
      </c>
      <c r="AX176" s="199"/>
    </row>
    <row r="177" spans="1:50">
      <c r="A177" s="73"/>
      <c r="B177" s="570"/>
      <c r="C177" s="200">
        <f>+C176</f>
        <v>14</v>
      </c>
      <c r="D177" s="201">
        <f t="shared" ref="D177:D185" si="248">+D176+1</f>
        <v>4</v>
      </c>
      <c r="E177" s="202">
        <f t="shared" ca="1" si="221"/>
        <v>49249</v>
      </c>
      <c r="F177" s="203">
        <f>IF(Dashboard!$Q$5="Float",F176+Dashboard!$R$5/12,F176)</f>
        <v>0.04</v>
      </c>
      <c r="G177" s="204">
        <f t="shared" si="203"/>
        <v>160</v>
      </c>
      <c r="H177" s="205">
        <f t="shared" si="204"/>
        <v>2619511.2871412761</v>
      </c>
      <c r="I177" s="205">
        <f t="shared" si="191"/>
        <v>-17903.073579954718</v>
      </c>
      <c r="J177" s="205">
        <f t="shared" si="192"/>
        <v>-8731.7042904709215</v>
      </c>
      <c r="K177" s="205">
        <f t="shared" si="205"/>
        <v>-9171.3692894837968</v>
      </c>
      <c r="L177" s="205">
        <f t="shared" si="206"/>
        <v>2610339.9178517922</v>
      </c>
      <c r="M177" s="199"/>
      <c r="N177" s="200">
        <f t="shared" ca="1" si="207"/>
        <v>1</v>
      </c>
      <c r="O177" s="509">
        <f t="shared" ca="1" si="193"/>
        <v>8</v>
      </c>
      <c r="P177" s="200">
        <f t="shared" ca="1" si="194"/>
        <v>1</v>
      </c>
      <c r="Q177" s="201">
        <f t="shared" ref="Q177:Q185" si="249">+Q176+1</f>
        <v>4</v>
      </c>
      <c r="R177" s="202">
        <f t="shared" si="222"/>
        <v>44652</v>
      </c>
      <c r="S177" s="203">
        <f t="shared" si="208"/>
        <v>0.04</v>
      </c>
      <c r="T177" s="204" t="str">
        <f t="shared" ca="1" si="209"/>
        <v>I/O</v>
      </c>
      <c r="U177" s="205">
        <f t="shared" ca="1" si="210"/>
        <v>500000</v>
      </c>
      <c r="V177" s="205">
        <f t="shared" ca="1" si="195"/>
        <v>-1666.6666666666667</v>
      </c>
      <c r="W177" s="205">
        <f t="shared" ca="1" si="196"/>
        <v>-1666.6666666666667</v>
      </c>
      <c r="X177" s="205">
        <f t="shared" ca="1" si="211"/>
        <v>0</v>
      </c>
      <c r="Y177" s="205">
        <f t="shared" ca="1" si="212"/>
        <v>500000</v>
      </c>
      <c r="Z177" s="199"/>
      <c r="AA177" s="200">
        <f t="shared" ca="1" si="200"/>
        <v>14</v>
      </c>
      <c r="AB177" s="509">
        <f t="shared" ca="1" si="197"/>
        <v>159</v>
      </c>
      <c r="AC177" s="200">
        <f>+AC176</f>
        <v>14</v>
      </c>
      <c r="AD177" s="201">
        <f t="shared" ref="AD177:AD185" si="250">+AD176+1</f>
        <v>4</v>
      </c>
      <c r="AE177" s="202">
        <f t="shared" ca="1" si="223"/>
        <v>49249</v>
      </c>
      <c r="AF177" s="203">
        <f>IF(Dashboard!$R$24="Float",AF176+Dashboard!$R$24/12,AF176)</f>
        <v>0.06</v>
      </c>
      <c r="AG177" s="204">
        <f t="shared" si="213"/>
        <v>160</v>
      </c>
      <c r="AH177" s="205">
        <f t="shared" si="214"/>
        <v>0</v>
      </c>
      <c r="AI177" s="205">
        <f t="shared" si="198"/>
        <v>0</v>
      </c>
      <c r="AJ177" s="205">
        <f t="shared" si="199"/>
        <v>0</v>
      </c>
      <c r="AK177" s="205">
        <f t="shared" si="215"/>
        <v>0</v>
      </c>
      <c r="AL177" s="205">
        <f t="shared" si="216"/>
        <v>0</v>
      </c>
      <c r="AM177" s="199"/>
      <c r="AN177" s="200">
        <f>+AN176</f>
        <v>15</v>
      </c>
      <c r="AO177" s="201">
        <f t="shared" ref="AO177:AO185" si="251">+AO176+1</f>
        <v>4</v>
      </c>
      <c r="AP177" s="202">
        <f t="shared" ca="1" si="224"/>
        <v>49249</v>
      </c>
      <c r="AQ177" s="203">
        <f>IF(Dashboard!$S$20="Float",AQ176+Dashboard!$T$20/12,AQ176)</f>
        <v>4.4999999999999998E-2</v>
      </c>
      <c r="AR177" s="204">
        <f t="shared" si="217"/>
        <v>160</v>
      </c>
      <c r="AS177" s="205">
        <f t="shared" si="218"/>
        <v>2554447.2010761383</v>
      </c>
      <c r="AT177" s="205">
        <f t="shared" si="201"/>
        <v>-18117.071455543846</v>
      </c>
      <c r="AU177" s="205">
        <f t="shared" si="202"/>
        <v>-9579.1770040355186</v>
      </c>
      <c r="AV177" s="205">
        <f t="shared" si="219"/>
        <v>-8537.8944515083276</v>
      </c>
      <c r="AW177" s="205">
        <f t="shared" si="220"/>
        <v>2545909.30662463</v>
      </c>
      <c r="AX177" s="199"/>
    </row>
    <row r="178" spans="1:50">
      <c r="A178" s="73"/>
      <c r="B178" s="570"/>
      <c r="C178" s="200">
        <f t="shared" ref="C178:C185" si="252">+C177</f>
        <v>14</v>
      </c>
      <c r="D178" s="201">
        <f t="shared" si="248"/>
        <v>5</v>
      </c>
      <c r="E178" s="202">
        <f t="shared" ca="1" si="221"/>
        <v>49279</v>
      </c>
      <c r="F178" s="203">
        <f>IF(Dashboard!$Q$5="Float",F177+Dashboard!$R$5/12,F177)</f>
        <v>0.04</v>
      </c>
      <c r="G178" s="204">
        <f t="shared" si="203"/>
        <v>161</v>
      </c>
      <c r="H178" s="205">
        <f t="shared" si="204"/>
        <v>2610339.9178517922</v>
      </c>
      <c r="I178" s="205">
        <f t="shared" si="191"/>
        <v>-17903.073579954722</v>
      </c>
      <c r="J178" s="205">
        <f t="shared" si="192"/>
        <v>-8701.1330595059753</v>
      </c>
      <c r="K178" s="205">
        <f t="shared" si="205"/>
        <v>-9201.9405204487466</v>
      </c>
      <c r="L178" s="205">
        <f t="shared" si="206"/>
        <v>2601137.9773313436</v>
      </c>
      <c r="M178" s="199"/>
      <c r="N178" s="200">
        <f t="shared" ca="1" si="207"/>
        <v>1</v>
      </c>
      <c r="O178" s="509">
        <f t="shared" ca="1" si="193"/>
        <v>9</v>
      </c>
      <c r="P178" s="200">
        <f t="shared" ca="1" si="194"/>
        <v>1</v>
      </c>
      <c r="Q178" s="201">
        <f t="shared" si="249"/>
        <v>5</v>
      </c>
      <c r="R178" s="202">
        <f t="shared" si="222"/>
        <v>44682</v>
      </c>
      <c r="S178" s="203">
        <f t="shared" si="208"/>
        <v>0.04</v>
      </c>
      <c r="T178" s="204" t="str">
        <f t="shared" ca="1" si="209"/>
        <v>I/O</v>
      </c>
      <c r="U178" s="205">
        <f t="shared" ca="1" si="210"/>
        <v>500000</v>
      </c>
      <c r="V178" s="205">
        <f t="shared" ca="1" si="195"/>
        <v>-1666.6666666666667</v>
      </c>
      <c r="W178" s="205">
        <f t="shared" ca="1" si="196"/>
        <v>-1666.6666666666667</v>
      </c>
      <c r="X178" s="205">
        <f t="shared" ca="1" si="211"/>
        <v>0</v>
      </c>
      <c r="Y178" s="205">
        <f t="shared" ca="1" si="212"/>
        <v>500000</v>
      </c>
      <c r="Z178" s="199"/>
      <c r="AA178" s="200">
        <f t="shared" ca="1" si="200"/>
        <v>14</v>
      </c>
      <c r="AB178" s="509">
        <f t="shared" ca="1" si="197"/>
        <v>160</v>
      </c>
      <c r="AC178" s="200">
        <f t="shared" ref="AC178:AC185" si="253">+AC177</f>
        <v>14</v>
      </c>
      <c r="AD178" s="201">
        <f t="shared" si="250"/>
        <v>5</v>
      </c>
      <c r="AE178" s="202">
        <f t="shared" ca="1" si="223"/>
        <v>49279</v>
      </c>
      <c r="AF178" s="203">
        <f>IF(Dashboard!$R$24="Float",AF177+Dashboard!$R$24/12,AF177)</f>
        <v>0.06</v>
      </c>
      <c r="AG178" s="204">
        <f t="shared" si="213"/>
        <v>161</v>
      </c>
      <c r="AH178" s="205">
        <f t="shared" si="214"/>
        <v>0</v>
      </c>
      <c r="AI178" s="205">
        <f t="shared" si="198"/>
        <v>0</v>
      </c>
      <c r="AJ178" s="205">
        <f t="shared" si="199"/>
        <v>0</v>
      </c>
      <c r="AK178" s="205">
        <f t="shared" si="215"/>
        <v>0</v>
      </c>
      <c r="AL178" s="205">
        <f t="shared" si="216"/>
        <v>0</v>
      </c>
      <c r="AM178" s="199"/>
      <c r="AN178" s="200">
        <f t="shared" ref="AN178:AN185" si="254">+AN177</f>
        <v>15</v>
      </c>
      <c r="AO178" s="201">
        <f t="shared" si="251"/>
        <v>5</v>
      </c>
      <c r="AP178" s="202">
        <f t="shared" ca="1" si="224"/>
        <v>49279</v>
      </c>
      <c r="AQ178" s="203">
        <f>IF(Dashboard!$S$20="Float",AQ177+Dashboard!$T$20/12,AQ177)</f>
        <v>4.4999999999999998E-2</v>
      </c>
      <c r="AR178" s="204">
        <f t="shared" si="217"/>
        <v>161</v>
      </c>
      <c r="AS178" s="205">
        <f t="shared" si="218"/>
        <v>2545909.30662463</v>
      </c>
      <c r="AT178" s="205">
        <f t="shared" si="201"/>
        <v>-18117.07145554385</v>
      </c>
      <c r="AU178" s="205">
        <f t="shared" si="202"/>
        <v>-9547.1598998423633</v>
      </c>
      <c r="AV178" s="205">
        <f t="shared" si="219"/>
        <v>-8569.9115557014866</v>
      </c>
      <c r="AW178" s="205">
        <f t="shared" si="220"/>
        <v>2537339.3950689286</v>
      </c>
      <c r="AX178" s="199"/>
    </row>
    <row r="179" spans="1:50">
      <c r="A179" s="73"/>
      <c r="B179" s="570"/>
      <c r="C179" s="200">
        <f t="shared" si="252"/>
        <v>14</v>
      </c>
      <c r="D179" s="201">
        <f t="shared" si="248"/>
        <v>6</v>
      </c>
      <c r="E179" s="202">
        <f t="shared" ca="1" si="221"/>
        <v>49310</v>
      </c>
      <c r="F179" s="203">
        <f>IF(Dashboard!$Q$5="Float",F178+Dashboard!$R$5/12,F178)</f>
        <v>0.04</v>
      </c>
      <c r="G179" s="204">
        <f t="shared" si="203"/>
        <v>162</v>
      </c>
      <c r="H179" s="205">
        <f t="shared" si="204"/>
        <v>2601137.9773313436</v>
      </c>
      <c r="I179" s="205">
        <f t="shared" si="191"/>
        <v>-17903.073579954722</v>
      </c>
      <c r="J179" s="205">
        <f t="shared" si="192"/>
        <v>-8670.4599244378132</v>
      </c>
      <c r="K179" s="205">
        <f t="shared" si="205"/>
        <v>-9232.6136555169087</v>
      </c>
      <c r="L179" s="205">
        <f t="shared" si="206"/>
        <v>2591905.3636758267</v>
      </c>
      <c r="M179" s="199"/>
      <c r="N179" s="200">
        <f t="shared" ca="1" si="207"/>
        <v>1</v>
      </c>
      <c r="O179" s="509">
        <f t="shared" ca="1" si="193"/>
        <v>10</v>
      </c>
      <c r="P179" s="200">
        <f t="shared" ca="1" si="194"/>
        <v>1</v>
      </c>
      <c r="Q179" s="201">
        <f t="shared" si="249"/>
        <v>6</v>
      </c>
      <c r="R179" s="202">
        <f t="shared" si="222"/>
        <v>44713</v>
      </c>
      <c r="S179" s="203">
        <f t="shared" si="208"/>
        <v>0.04</v>
      </c>
      <c r="T179" s="204" t="str">
        <f t="shared" ca="1" si="209"/>
        <v>I/O</v>
      </c>
      <c r="U179" s="205">
        <f t="shared" ca="1" si="210"/>
        <v>500000</v>
      </c>
      <c r="V179" s="205">
        <f t="shared" ca="1" si="195"/>
        <v>-1666.6666666666667</v>
      </c>
      <c r="W179" s="205">
        <f t="shared" ca="1" si="196"/>
        <v>-1666.6666666666667</v>
      </c>
      <c r="X179" s="205">
        <f t="shared" ca="1" si="211"/>
        <v>0</v>
      </c>
      <c r="Y179" s="205">
        <f t="shared" ca="1" si="212"/>
        <v>500000</v>
      </c>
      <c r="Z179" s="199"/>
      <c r="AA179" s="200">
        <f t="shared" ca="1" si="200"/>
        <v>14</v>
      </c>
      <c r="AB179" s="509">
        <f t="shared" ca="1" si="197"/>
        <v>161</v>
      </c>
      <c r="AC179" s="200">
        <f t="shared" si="253"/>
        <v>14</v>
      </c>
      <c r="AD179" s="201">
        <f t="shared" si="250"/>
        <v>6</v>
      </c>
      <c r="AE179" s="202">
        <f t="shared" ca="1" si="223"/>
        <v>49310</v>
      </c>
      <c r="AF179" s="203">
        <f>IF(Dashboard!$R$24="Float",AF178+Dashboard!$R$24/12,AF178)</f>
        <v>0.06</v>
      </c>
      <c r="AG179" s="204">
        <f t="shared" si="213"/>
        <v>162</v>
      </c>
      <c r="AH179" s="205">
        <f t="shared" si="214"/>
        <v>0</v>
      </c>
      <c r="AI179" s="205">
        <f t="shared" si="198"/>
        <v>0</v>
      </c>
      <c r="AJ179" s="205">
        <f t="shared" si="199"/>
        <v>0</v>
      </c>
      <c r="AK179" s="205">
        <f t="shared" si="215"/>
        <v>0</v>
      </c>
      <c r="AL179" s="205">
        <f t="shared" si="216"/>
        <v>0</v>
      </c>
      <c r="AM179" s="199"/>
      <c r="AN179" s="200">
        <f t="shared" si="254"/>
        <v>15</v>
      </c>
      <c r="AO179" s="201">
        <f t="shared" si="251"/>
        <v>6</v>
      </c>
      <c r="AP179" s="202">
        <f t="shared" ca="1" si="224"/>
        <v>49310</v>
      </c>
      <c r="AQ179" s="203">
        <f>IF(Dashboard!$S$20="Float",AQ178+Dashboard!$T$20/12,AQ178)</f>
        <v>4.4999999999999998E-2</v>
      </c>
      <c r="AR179" s="204">
        <f t="shared" si="217"/>
        <v>162</v>
      </c>
      <c r="AS179" s="205">
        <f t="shared" si="218"/>
        <v>2537339.3950689286</v>
      </c>
      <c r="AT179" s="205">
        <f t="shared" si="201"/>
        <v>-18117.07145554385</v>
      </c>
      <c r="AU179" s="205">
        <f t="shared" si="202"/>
        <v>-9515.022731508483</v>
      </c>
      <c r="AV179" s="205">
        <f t="shared" si="219"/>
        <v>-8602.0487240353668</v>
      </c>
      <c r="AW179" s="205">
        <f t="shared" si="220"/>
        <v>2528737.3463448933</v>
      </c>
      <c r="AX179" s="199"/>
    </row>
    <row r="180" spans="1:50">
      <c r="A180" s="73"/>
      <c r="B180" s="570"/>
      <c r="C180" s="200">
        <f t="shared" si="252"/>
        <v>14</v>
      </c>
      <c r="D180" s="201">
        <f t="shared" si="248"/>
        <v>7</v>
      </c>
      <c r="E180" s="202">
        <f t="shared" ca="1" si="221"/>
        <v>49341</v>
      </c>
      <c r="F180" s="203">
        <f>IF(Dashboard!$Q$5="Float",F179+Dashboard!$R$5/12,F179)</f>
        <v>0.04</v>
      </c>
      <c r="G180" s="204">
        <f t="shared" si="203"/>
        <v>163</v>
      </c>
      <c r="H180" s="205">
        <f t="shared" si="204"/>
        <v>2591905.3636758267</v>
      </c>
      <c r="I180" s="205">
        <f t="shared" si="191"/>
        <v>-17903.073579954722</v>
      </c>
      <c r="J180" s="205">
        <f t="shared" si="192"/>
        <v>-8639.6845455860894</v>
      </c>
      <c r="K180" s="205">
        <f t="shared" si="205"/>
        <v>-9263.3890343686326</v>
      </c>
      <c r="L180" s="205">
        <f t="shared" si="206"/>
        <v>2582641.9746414581</v>
      </c>
      <c r="M180" s="199"/>
      <c r="N180" s="200">
        <f t="shared" ca="1" si="207"/>
        <v>1</v>
      </c>
      <c r="O180" s="509">
        <f t="shared" ca="1" si="193"/>
        <v>11</v>
      </c>
      <c r="P180" s="200">
        <f t="shared" ca="1" si="194"/>
        <v>1</v>
      </c>
      <c r="Q180" s="201">
        <f t="shared" si="249"/>
        <v>7</v>
      </c>
      <c r="R180" s="202">
        <f t="shared" si="222"/>
        <v>44743</v>
      </c>
      <c r="S180" s="203">
        <f t="shared" si="208"/>
        <v>0.04</v>
      </c>
      <c r="T180" s="204" t="str">
        <f t="shared" ca="1" si="209"/>
        <v>I/O</v>
      </c>
      <c r="U180" s="205">
        <f t="shared" ca="1" si="210"/>
        <v>500000</v>
      </c>
      <c r="V180" s="205">
        <f t="shared" ca="1" si="195"/>
        <v>-1666.6666666666667</v>
      </c>
      <c r="W180" s="205">
        <f t="shared" ca="1" si="196"/>
        <v>-1666.6666666666667</v>
      </c>
      <c r="X180" s="205">
        <f t="shared" ca="1" si="211"/>
        <v>0</v>
      </c>
      <c r="Y180" s="205">
        <f t="shared" ca="1" si="212"/>
        <v>500000</v>
      </c>
      <c r="Z180" s="199"/>
      <c r="AA180" s="200">
        <f t="shared" ca="1" si="200"/>
        <v>14</v>
      </c>
      <c r="AB180" s="509">
        <f t="shared" ca="1" si="197"/>
        <v>162</v>
      </c>
      <c r="AC180" s="200">
        <f t="shared" si="253"/>
        <v>14</v>
      </c>
      <c r="AD180" s="201">
        <f t="shared" si="250"/>
        <v>7</v>
      </c>
      <c r="AE180" s="202">
        <f t="shared" ca="1" si="223"/>
        <v>49341</v>
      </c>
      <c r="AF180" s="203">
        <f>IF(Dashboard!$R$24="Float",AF179+Dashboard!$R$24/12,AF179)</f>
        <v>0.06</v>
      </c>
      <c r="AG180" s="204">
        <f t="shared" si="213"/>
        <v>163</v>
      </c>
      <c r="AH180" s="205">
        <f t="shared" si="214"/>
        <v>0</v>
      </c>
      <c r="AI180" s="205">
        <f t="shared" si="198"/>
        <v>0</v>
      </c>
      <c r="AJ180" s="205">
        <f t="shared" si="199"/>
        <v>0</v>
      </c>
      <c r="AK180" s="205">
        <f t="shared" si="215"/>
        <v>0</v>
      </c>
      <c r="AL180" s="205">
        <f t="shared" si="216"/>
        <v>0</v>
      </c>
      <c r="AM180" s="199"/>
      <c r="AN180" s="200">
        <f t="shared" si="254"/>
        <v>15</v>
      </c>
      <c r="AO180" s="201">
        <f t="shared" si="251"/>
        <v>7</v>
      </c>
      <c r="AP180" s="202">
        <f t="shared" ca="1" si="224"/>
        <v>49341</v>
      </c>
      <c r="AQ180" s="203">
        <f>IF(Dashboard!$S$20="Float",AQ179+Dashboard!$T$20/12,AQ179)</f>
        <v>4.4999999999999998E-2</v>
      </c>
      <c r="AR180" s="204">
        <f t="shared" si="217"/>
        <v>163</v>
      </c>
      <c r="AS180" s="205">
        <f t="shared" si="218"/>
        <v>2528737.3463448933</v>
      </c>
      <c r="AT180" s="205">
        <f t="shared" si="201"/>
        <v>-18117.071455543854</v>
      </c>
      <c r="AU180" s="205">
        <f t="shared" si="202"/>
        <v>-9482.7650487933497</v>
      </c>
      <c r="AV180" s="205">
        <f t="shared" si="219"/>
        <v>-8634.3064067505038</v>
      </c>
      <c r="AW180" s="205">
        <f t="shared" si="220"/>
        <v>2520103.039938143</v>
      </c>
      <c r="AX180" s="199"/>
    </row>
    <row r="181" spans="1:50">
      <c r="A181" s="73"/>
      <c r="B181" s="570"/>
      <c r="C181" s="200">
        <f t="shared" si="252"/>
        <v>14</v>
      </c>
      <c r="D181" s="201">
        <f t="shared" si="248"/>
        <v>8</v>
      </c>
      <c r="E181" s="202">
        <f t="shared" ca="1" si="221"/>
        <v>49369</v>
      </c>
      <c r="F181" s="203">
        <f>IF(Dashboard!$Q$5="Float",F180+Dashboard!$R$5/12,F180)</f>
        <v>0.04</v>
      </c>
      <c r="G181" s="204">
        <f t="shared" si="203"/>
        <v>164</v>
      </c>
      <c r="H181" s="205">
        <f t="shared" si="204"/>
        <v>2582641.9746414581</v>
      </c>
      <c r="I181" s="205">
        <f t="shared" si="191"/>
        <v>-17903.073579954722</v>
      </c>
      <c r="J181" s="205">
        <f t="shared" si="192"/>
        <v>-8608.8065821381952</v>
      </c>
      <c r="K181" s="205">
        <f t="shared" si="205"/>
        <v>-9294.2669978165268</v>
      </c>
      <c r="L181" s="205">
        <f t="shared" si="206"/>
        <v>2573347.7076436416</v>
      </c>
      <c r="M181" s="199"/>
      <c r="N181" s="200">
        <f t="shared" ca="1" si="207"/>
        <v>1</v>
      </c>
      <c r="O181" s="509">
        <f t="shared" ca="1" si="193"/>
        <v>12</v>
      </c>
      <c r="P181" s="200">
        <f t="shared" ca="1" si="194"/>
        <v>2</v>
      </c>
      <c r="Q181" s="201">
        <f t="shared" si="249"/>
        <v>8</v>
      </c>
      <c r="R181" s="202">
        <f t="shared" si="222"/>
        <v>44774</v>
      </c>
      <c r="S181" s="203">
        <f t="shared" si="208"/>
        <v>0.04</v>
      </c>
      <c r="T181" s="204" t="str">
        <f t="shared" ca="1" si="209"/>
        <v>I/O</v>
      </c>
      <c r="U181" s="205">
        <f t="shared" ca="1" si="210"/>
        <v>500000</v>
      </c>
      <c r="V181" s="205">
        <f t="shared" ca="1" si="195"/>
        <v>-1666.6666666666667</v>
      </c>
      <c r="W181" s="205">
        <f t="shared" ca="1" si="196"/>
        <v>-1666.6666666666667</v>
      </c>
      <c r="X181" s="205">
        <f t="shared" ca="1" si="211"/>
        <v>0</v>
      </c>
      <c r="Y181" s="205">
        <f t="shared" ca="1" si="212"/>
        <v>500000</v>
      </c>
      <c r="Z181" s="199"/>
      <c r="AA181" s="200">
        <f t="shared" ca="1" si="200"/>
        <v>14</v>
      </c>
      <c r="AB181" s="509">
        <f t="shared" ca="1" si="197"/>
        <v>163</v>
      </c>
      <c r="AC181" s="200">
        <f t="shared" si="253"/>
        <v>14</v>
      </c>
      <c r="AD181" s="201">
        <f t="shared" si="250"/>
        <v>8</v>
      </c>
      <c r="AE181" s="202">
        <f t="shared" ca="1" si="223"/>
        <v>49369</v>
      </c>
      <c r="AF181" s="203">
        <f>IF(Dashboard!$R$24="Float",AF180+Dashboard!$R$24/12,AF180)</f>
        <v>0.06</v>
      </c>
      <c r="AG181" s="204">
        <f t="shared" si="213"/>
        <v>164</v>
      </c>
      <c r="AH181" s="205">
        <f t="shared" si="214"/>
        <v>0</v>
      </c>
      <c r="AI181" s="205">
        <f t="shared" si="198"/>
        <v>0</v>
      </c>
      <c r="AJ181" s="205">
        <f t="shared" si="199"/>
        <v>0</v>
      </c>
      <c r="AK181" s="205">
        <f t="shared" si="215"/>
        <v>0</v>
      </c>
      <c r="AL181" s="205">
        <f t="shared" si="216"/>
        <v>0</v>
      </c>
      <c r="AM181" s="199"/>
      <c r="AN181" s="200">
        <f t="shared" si="254"/>
        <v>15</v>
      </c>
      <c r="AO181" s="201">
        <f t="shared" si="251"/>
        <v>8</v>
      </c>
      <c r="AP181" s="202">
        <f t="shared" ca="1" si="224"/>
        <v>49369</v>
      </c>
      <c r="AQ181" s="203">
        <f>IF(Dashboard!$S$20="Float",AQ180+Dashboard!$T$20/12,AQ180)</f>
        <v>4.4999999999999998E-2</v>
      </c>
      <c r="AR181" s="204">
        <f t="shared" si="217"/>
        <v>164</v>
      </c>
      <c r="AS181" s="205">
        <f t="shared" si="218"/>
        <v>2520103.039938143</v>
      </c>
      <c r="AT181" s="205">
        <f t="shared" si="201"/>
        <v>-18117.071455543854</v>
      </c>
      <c r="AU181" s="205">
        <f t="shared" si="202"/>
        <v>-9450.3863997680364</v>
      </c>
      <c r="AV181" s="205">
        <f t="shared" si="219"/>
        <v>-8666.6850557758171</v>
      </c>
      <c r="AW181" s="205">
        <f t="shared" si="220"/>
        <v>2511436.354882367</v>
      </c>
      <c r="AX181" s="199"/>
    </row>
    <row r="182" spans="1:50">
      <c r="A182" s="73"/>
      <c r="B182" s="570"/>
      <c r="C182" s="200">
        <f t="shared" si="252"/>
        <v>14</v>
      </c>
      <c r="D182" s="201">
        <f t="shared" si="248"/>
        <v>9</v>
      </c>
      <c r="E182" s="202">
        <f t="shared" ca="1" si="221"/>
        <v>49400</v>
      </c>
      <c r="F182" s="203">
        <f>IF(Dashboard!$Q$5="Float",F181+Dashboard!$R$5/12,F181)</f>
        <v>0.04</v>
      </c>
      <c r="G182" s="204">
        <f t="shared" si="203"/>
        <v>165</v>
      </c>
      <c r="H182" s="205">
        <f t="shared" si="204"/>
        <v>2573347.7076436416</v>
      </c>
      <c r="I182" s="205">
        <f t="shared" si="191"/>
        <v>-17903.073579954722</v>
      </c>
      <c r="J182" s="205">
        <f t="shared" si="192"/>
        <v>-8577.8256921454722</v>
      </c>
      <c r="K182" s="205">
        <f t="shared" si="205"/>
        <v>-9325.2478878092497</v>
      </c>
      <c r="L182" s="205">
        <f t="shared" si="206"/>
        <v>2564022.4597558323</v>
      </c>
      <c r="M182" s="199"/>
      <c r="N182" s="200">
        <f t="shared" ca="1" si="207"/>
        <v>2</v>
      </c>
      <c r="O182" s="509">
        <f t="shared" ca="1" si="193"/>
        <v>13</v>
      </c>
      <c r="P182" s="200">
        <f t="shared" ca="1" si="194"/>
        <v>2</v>
      </c>
      <c r="Q182" s="201">
        <f t="shared" si="249"/>
        <v>9</v>
      </c>
      <c r="R182" s="202">
        <f t="shared" si="222"/>
        <v>44805</v>
      </c>
      <c r="S182" s="203">
        <f t="shared" si="208"/>
        <v>0.04</v>
      </c>
      <c r="T182" s="204" t="str">
        <f t="shared" ca="1" si="209"/>
        <v>I/O</v>
      </c>
      <c r="U182" s="205">
        <f t="shared" ca="1" si="210"/>
        <v>500000</v>
      </c>
      <c r="V182" s="205">
        <f t="shared" ca="1" si="195"/>
        <v>-1666.6666666666667</v>
      </c>
      <c r="W182" s="205">
        <f t="shared" ca="1" si="196"/>
        <v>-1666.6666666666667</v>
      </c>
      <c r="X182" s="205">
        <f t="shared" ca="1" si="211"/>
        <v>0</v>
      </c>
      <c r="Y182" s="205">
        <f t="shared" ca="1" si="212"/>
        <v>500000</v>
      </c>
      <c r="Z182" s="199"/>
      <c r="AA182" s="200">
        <f t="shared" ca="1" si="200"/>
        <v>14</v>
      </c>
      <c r="AB182" s="509">
        <f t="shared" ca="1" si="197"/>
        <v>164</v>
      </c>
      <c r="AC182" s="200">
        <f t="shared" si="253"/>
        <v>14</v>
      </c>
      <c r="AD182" s="201">
        <f t="shared" si="250"/>
        <v>9</v>
      </c>
      <c r="AE182" s="202">
        <f t="shared" ca="1" si="223"/>
        <v>49400</v>
      </c>
      <c r="AF182" s="203">
        <f>IF(Dashboard!$R$24="Float",AF181+Dashboard!$R$24/12,AF181)</f>
        <v>0.06</v>
      </c>
      <c r="AG182" s="204">
        <f t="shared" si="213"/>
        <v>165</v>
      </c>
      <c r="AH182" s="205">
        <f t="shared" si="214"/>
        <v>0</v>
      </c>
      <c r="AI182" s="205">
        <f t="shared" si="198"/>
        <v>0</v>
      </c>
      <c r="AJ182" s="205">
        <f t="shared" si="199"/>
        <v>0</v>
      </c>
      <c r="AK182" s="205">
        <f t="shared" si="215"/>
        <v>0</v>
      </c>
      <c r="AL182" s="205">
        <f t="shared" si="216"/>
        <v>0</v>
      </c>
      <c r="AM182" s="199"/>
      <c r="AN182" s="200">
        <f t="shared" si="254"/>
        <v>15</v>
      </c>
      <c r="AO182" s="201">
        <f t="shared" si="251"/>
        <v>9</v>
      </c>
      <c r="AP182" s="202">
        <f t="shared" ca="1" si="224"/>
        <v>49400</v>
      </c>
      <c r="AQ182" s="203">
        <f>IF(Dashboard!$S$20="Float",AQ181+Dashboard!$T$20/12,AQ181)</f>
        <v>4.4999999999999998E-2</v>
      </c>
      <c r="AR182" s="204">
        <f t="shared" si="217"/>
        <v>165</v>
      </c>
      <c r="AS182" s="205">
        <f t="shared" si="218"/>
        <v>2511436.354882367</v>
      </c>
      <c r="AT182" s="205">
        <f t="shared" si="201"/>
        <v>-18117.07145554385</v>
      </c>
      <c r="AU182" s="205">
        <f t="shared" si="202"/>
        <v>-9417.8863308088748</v>
      </c>
      <c r="AV182" s="205">
        <f t="shared" si="219"/>
        <v>-8699.185124734975</v>
      </c>
      <c r="AW182" s="205">
        <f t="shared" si="220"/>
        <v>2502737.1697576321</v>
      </c>
      <c r="AX182" s="199"/>
    </row>
    <row r="183" spans="1:50">
      <c r="A183" s="73"/>
      <c r="B183" s="570"/>
      <c r="C183" s="200">
        <f t="shared" si="252"/>
        <v>14</v>
      </c>
      <c r="D183" s="201">
        <f t="shared" si="248"/>
        <v>10</v>
      </c>
      <c r="E183" s="202">
        <f t="shared" ca="1" si="221"/>
        <v>49430</v>
      </c>
      <c r="F183" s="203">
        <f>IF(Dashboard!$Q$5="Float",F182+Dashboard!$R$5/12,F182)</f>
        <v>0.04</v>
      </c>
      <c r="G183" s="204">
        <f t="shared" si="203"/>
        <v>166</v>
      </c>
      <c r="H183" s="205">
        <f t="shared" si="204"/>
        <v>2564022.4597558323</v>
      </c>
      <c r="I183" s="205">
        <f t="shared" si="191"/>
        <v>-17903.073579954722</v>
      </c>
      <c r="J183" s="205">
        <f t="shared" si="192"/>
        <v>-8546.7415325194415</v>
      </c>
      <c r="K183" s="205">
        <f t="shared" si="205"/>
        <v>-9356.3320474352804</v>
      </c>
      <c r="L183" s="205">
        <f t="shared" si="206"/>
        <v>2554666.1277083969</v>
      </c>
      <c r="M183" s="199"/>
      <c r="N183" s="200">
        <f t="shared" ca="1" si="207"/>
        <v>2</v>
      </c>
      <c r="O183" s="509">
        <f t="shared" ca="1" si="193"/>
        <v>14</v>
      </c>
      <c r="P183" s="200">
        <f t="shared" ca="1" si="194"/>
        <v>2</v>
      </c>
      <c r="Q183" s="201">
        <f t="shared" si="249"/>
        <v>10</v>
      </c>
      <c r="R183" s="202">
        <f t="shared" si="222"/>
        <v>44835</v>
      </c>
      <c r="S183" s="203">
        <f t="shared" si="208"/>
        <v>0.04</v>
      </c>
      <c r="T183" s="204" t="str">
        <f t="shared" ca="1" si="209"/>
        <v>I/O</v>
      </c>
      <c r="U183" s="205">
        <f t="shared" ca="1" si="210"/>
        <v>500000</v>
      </c>
      <c r="V183" s="205">
        <f t="shared" ca="1" si="195"/>
        <v>-1666.6666666666667</v>
      </c>
      <c r="W183" s="205">
        <f t="shared" ca="1" si="196"/>
        <v>-1666.6666666666667</v>
      </c>
      <c r="X183" s="205">
        <f t="shared" ca="1" si="211"/>
        <v>0</v>
      </c>
      <c r="Y183" s="205">
        <f t="shared" ca="1" si="212"/>
        <v>500000</v>
      </c>
      <c r="Z183" s="199"/>
      <c r="AA183" s="200">
        <f t="shared" ca="1" si="200"/>
        <v>14</v>
      </c>
      <c r="AB183" s="509">
        <f t="shared" ca="1" si="197"/>
        <v>165</v>
      </c>
      <c r="AC183" s="200">
        <f t="shared" si="253"/>
        <v>14</v>
      </c>
      <c r="AD183" s="201">
        <f t="shared" si="250"/>
        <v>10</v>
      </c>
      <c r="AE183" s="202">
        <f t="shared" ca="1" si="223"/>
        <v>49430</v>
      </c>
      <c r="AF183" s="203">
        <f>IF(Dashboard!$R$24="Float",AF182+Dashboard!$R$24/12,AF182)</f>
        <v>0.06</v>
      </c>
      <c r="AG183" s="204">
        <f t="shared" si="213"/>
        <v>166</v>
      </c>
      <c r="AH183" s="205">
        <f t="shared" si="214"/>
        <v>0</v>
      </c>
      <c r="AI183" s="205">
        <f t="shared" si="198"/>
        <v>0</v>
      </c>
      <c r="AJ183" s="205">
        <f t="shared" si="199"/>
        <v>0</v>
      </c>
      <c r="AK183" s="205">
        <f t="shared" si="215"/>
        <v>0</v>
      </c>
      <c r="AL183" s="205">
        <f t="shared" si="216"/>
        <v>0</v>
      </c>
      <c r="AM183" s="199"/>
      <c r="AN183" s="200">
        <f t="shared" si="254"/>
        <v>15</v>
      </c>
      <c r="AO183" s="201">
        <f t="shared" si="251"/>
        <v>10</v>
      </c>
      <c r="AP183" s="202">
        <f t="shared" ca="1" si="224"/>
        <v>49430</v>
      </c>
      <c r="AQ183" s="203">
        <f>IF(Dashboard!$S$20="Float",AQ182+Dashboard!$T$20/12,AQ182)</f>
        <v>4.4999999999999998E-2</v>
      </c>
      <c r="AR183" s="204">
        <f t="shared" si="217"/>
        <v>166</v>
      </c>
      <c r="AS183" s="205">
        <f t="shared" si="218"/>
        <v>2502737.1697576321</v>
      </c>
      <c r="AT183" s="205">
        <f t="shared" si="201"/>
        <v>-18117.07145554385</v>
      </c>
      <c r="AU183" s="205">
        <f t="shared" si="202"/>
        <v>-9385.2643865911195</v>
      </c>
      <c r="AV183" s="205">
        <f t="shared" si="219"/>
        <v>-8731.8070689527303</v>
      </c>
      <c r="AW183" s="205">
        <f t="shared" si="220"/>
        <v>2494005.3626886792</v>
      </c>
      <c r="AX183" s="199"/>
    </row>
    <row r="184" spans="1:50">
      <c r="A184" s="73"/>
      <c r="B184" s="570"/>
      <c r="C184" s="200">
        <f t="shared" si="252"/>
        <v>14</v>
      </c>
      <c r="D184" s="201">
        <f t="shared" si="248"/>
        <v>11</v>
      </c>
      <c r="E184" s="202">
        <f t="shared" ca="1" si="221"/>
        <v>49461</v>
      </c>
      <c r="F184" s="203">
        <f>IF(Dashboard!$Q$5="Float",F183+Dashboard!$R$5/12,F183)</f>
        <v>0.04</v>
      </c>
      <c r="G184" s="204">
        <f t="shared" si="203"/>
        <v>167</v>
      </c>
      <c r="H184" s="205">
        <f t="shared" si="204"/>
        <v>2554666.1277083969</v>
      </c>
      <c r="I184" s="205">
        <f t="shared" si="191"/>
        <v>-17903.073579954718</v>
      </c>
      <c r="J184" s="205">
        <f t="shared" si="192"/>
        <v>-8515.553759027991</v>
      </c>
      <c r="K184" s="205">
        <f t="shared" si="205"/>
        <v>-9387.5198209267273</v>
      </c>
      <c r="L184" s="205">
        <f t="shared" si="206"/>
        <v>2545278.6078874702</v>
      </c>
      <c r="M184" s="199"/>
      <c r="N184" s="200">
        <f t="shared" ca="1" si="207"/>
        <v>2</v>
      </c>
      <c r="O184" s="509">
        <f t="shared" ca="1" si="193"/>
        <v>15</v>
      </c>
      <c r="P184" s="200">
        <f t="shared" ca="1" si="194"/>
        <v>2</v>
      </c>
      <c r="Q184" s="201">
        <f t="shared" si="249"/>
        <v>11</v>
      </c>
      <c r="R184" s="202">
        <f t="shared" si="222"/>
        <v>44866</v>
      </c>
      <c r="S184" s="203">
        <f t="shared" si="208"/>
        <v>0.04</v>
      </c>
      <c r="T184" s="204" t="str">
        <f t="shared" ca="1" si="209"/>
        <v>I/O</v>
      </c>
      <c r="U184" s="205">
        <f t="shared" ca="1" si="210"/>
        <v>500000</v>
      </c>
      <c r="V184" s="205">
        <f t="shared" ca="1" si="195"/>
        <v>-1666.6666666666667</v>
      </c>
      <c r="W184" s="205">
        <f t="shared" ca="1" si="196"/>
        <v>-1666.6666666666667</v>
      </c>
      <c r="X184" s="205">
        <f t="shared" ca="1" si="211"/>
        <v>0</v>
      </c>
      <c r="Y184" s="205">
        <f t="shared" ca="1" si="212"/>
        <v>500000</v>
      </c>
      <c r="Z184" s="199"/>
      <c r="AA184" s="200">
        <f t="shared" ca="1" si="200"/>
        <v>14</v>
      </c>
      <c r="AB184" s="509">
        <f t="shared" ca="1" si="197"/>
        <v>166</v>
      </c>
      <c r="AC184" s="200">
        <f t="shared" si="253"/>
        <v>14</v>
      </c>
      <c r="AD184" s="201">
        <f t="shared" si="250"/>
        <v>11</v>
      </c>
      <c r="AE184" s="202">
        <f t="shared" ca="1" si="223"/>
        <v>49461</v>
      </c>
      <c r="AF184" s="203">
        <f>IF(Dashboard!$R$24="Float",AF183+Dashboard!$R$24/12,AF183)</f>
        <v>0.06</v>
      </c>
      <c r="AG184" s="204">
        <f t="shared" si="213"/>
        <v>167</v>
      </c>
      <c r="AH184" s="205">
        <f t="shared" si="214"/>
        <v>0</v>
      </c>
      <c r="AI184" s="205">
        <f t="shared" si="198"/>
        <v>0</v>
      </c>
      <c r="AJ184" s="205">
        <f t="shared" si="199"/>
        <v>0</v>
      </c>
      <c r="AK184" s="205">
        <f t="shared" si="215"/>
        <v>0</v>
      </c>
      <c r="AL184" s="205">
        <f t="shared" si="216"/>
        <v>0</v>
      </c>
      <c r="AM184" s="199"/>
      <c r="AN184" s="200">
        <f t="shared" si="254"/>
        <v>15</v>
      </c>
      <c r="AO184" s="201">
        <f t="shared" si="251"/>
        <v>11</v>
      </c>
      <c r="AP184" s="202">
        <f t="shared" ca="1" si="224"/>
        <v>49461</v>
      </c>
      <c r="AQ184" s="203">
        <f>IF(Dashboard!$S$20="Float",AQ183+Dashboard!$T$20/12,AQ183)</f>
        <v>4.4999999999999998E-2</v>
      </c>
      <c r="AR184" s="204">
        <f t="shared" si="217"/>
        <v>167</v>
      </c>
      <c r="AS184" s="205">
        <f t="shared" si="218"/>
        <v>2494005.3626886792</v>
      </c>
      <c r="AT184" s="205">
        <f t="shared" si="201"/>
        <v>-18117.071455543854</v>
      </c>
      <c r="AU184" s="205">
        <f t="shared" si="202"/>
        <v>-9352.520110082547</v>
      </c>
      <c r="AV184" s="205">
        <f t="shared" si="219"/>
        <v>-8764.5513454613065</v>
      </c>
      <c r="AW184" s="205">
        <f t="shared" si="220"/>
        <v>2485240.8113432177</v>
      </c>
      <c r="AX184" s="199"/>
    </row>
    <row r="185" spans="1:50">
      <c r="A185" s="73"/>
      <c r="B185" s="570"/>
      <c r="C185" s="200">
        <f t="shared" si="252"/>
        <v>14</v>
      </c>
      <c r="D185" s="201">
        <f t="shared" si="248"/>
        <v>12</v>
      </c>
      <c r="E185" s="202">
        <f t="shared" ca="1" si="221"/>
        <v>49491</v>
      </c>
      <c r="F185" s="203">
        <f>IF(Dashboard!$Q$5="Float",F184+Dashboard!$R$5/12,F184)</f>
        <v>0.04</v>
      </c>
      <c r="G185" s="204">
        <f t="shared" si="203"/>
        <v>168</v>
      </c>
      <c r="H185" s="205">
        <f t="shared" si="204"/>
        <v>2545278.6078874702</v>
      </c>
      <c r="I185" s="205">
        <f t="shared" si="191"/>
        <v>-17903.073579954722</v>
      </c>
      <c r="J185" s="205">
        <f t="shared" si="192"/>
        <v>-8484.262026291568</v>
      </c>
      <c r="K185" s="205">
        <f t="shared" si="205"/>
        <v>-9418.811553663154</v>
      </c>
      <c r="L185" s="205">
        <f t="shared" si="206"/>
        <v>2535859.7963338071</v>
      </c>
      <c r="M185" s="199"/>
      <c r="N185" s="200">
        <f t="shared" ca="1" si="207"/>
        <v>2</v>
      </c>
      <c r="O185" s="509">
        <f t="shared" ca="1" si="193"/>
        <v>16</v>
      </c>
      <c r="P185" s="200">
        <f t="shared" ca="1" si="194"/>
        <v>2</v>
      </c>
      <c r="Q185" s="201">
        <f t="shared" si="249"/>
        <v>12</v>
      </c>
      <c r="R185" s="202">
        <f t="shared" si="222"/>
        <v>44896</v>
      </c>
      <c r="S185" s="203">
        <f t="shared" si="208"/>
        <v>0.04</v>
      </c>
      <c r="T185" s="204" t="str">
        <f t="shared" ca="1" si="209"/>
        <v>I/O</v>
      </c>
      <c r="U185" s="205">
        <f t="shared" ca="1" si="210"/>
        <v>500000</v>
      </c>
      <c r="V185" s="205">
        <f t="shared" ca="1" si="195"/>
        <v>-1666.6666666666667</v>
      </c>
      <c r="W185" s="205">
        <f t="shared" ca="1" si="196"/>
        <v>-1666.6666666666667</v>
      </c>
      <c r="X185" s="205">
        <f t="shared" ca="1" si="211"/>
        <v>0</v>
      </c>
      <c r="Y185" s="205">
        <f t="shared" ca="1" si="212"/>
        <v>500000</v>
      </c>
      <c r="Z185" s="199"/>
      <c r="AA185" s="200">
        <f t="shared" ca="1" si="200"/>
        <v>14</v>
      </c>
      <c r="AB185" s="509">
        <f t="shared" ca="1" si="197"/>
        <v>167</v>
      </c>
      <c r="AC185" s="200">
        <f t="shared" si="253"/>
        <v>14</v>
      </c>
      <c r="AD185" s="201">
        <f t="shared" si="250"/>
        <v>12</v>
      </c>
      <c r="AE185" s="202">
        <f t="shared" ca="1" si="223"/>
        <v>49491</v>
      </c>
      <c r="AF185" s="203">
        <f>IF(Dashboard!$R$24="Float",AF184+Dashboard!$R$24/12,AF184)</f>
        <v>0.06</v>
      </c>
      <c r="AG185" s="204">
        <f t="shared" si="213"/>
        <v>168</v>
      </c>
      <c r="AH185" s="205">
        <f t="shared" si="214"/>
        <v>0</v>
      </c>
      <c r="AI185" s="205">
        <f t="shared" si="198"/>
        <v>0</v>
      </c>
      <c r="AJ185" s="205">
        <f t="shared" si="199"/>
        <v>0</v>
      </c>
      <c r="AK185" s="205">
        <f t="shared" si="215"/>
        <v>0</v>
      </c>
      <c r="AL185" s="205">
        <f t="shared" si="216"/>
        <v>0</v>
      </c>
      <c r="AM185" s="199"/>
      <c r="AN185" s="200">
        <f t="shared" si="254"/>
        <v>15</v>
      </c>
      <c r="AO185" s="201">
        <f t="shared" si="251"/>
        <v>12</v>
      </c>
      <c r="AP185" s="202">
        <f t="shared" ca="1" si="224"/>
        <v>49491</v>
      </c>
      <c r="AQ185" s="203">
        <f>IF(Dashboard!$S$20="Float",AQ184+Dashboard!$T$20/12,AQ184)</f>
        <v>4.4999999999999998E-2</v>
      </c>
      <c r="AR185" s="204">
        <f t="shared" si="217"/>
        <v>168</v>
      </c>
      <c r="AS185" s="205">
        <f t="shared" si="218"/>
        <v>2485240.8113432177</v>
      </c>
      <c r="AT185" s="205">
        <f t="shared" si="201"/>
        <v>-18117.07145554385</v>
      </c>
      <c r="AU185" s="205">
        <f t="shared" si="202"/>
        <v>-9319.6530425370656</v>
      </c>
      <c r="AV185" s="205">
        <f t="shared" si="219"/>
        <v>-8797.4184130067842</v>
      </c>
      <c r="AW185" s="205">
        <f t="shared" si="220"/>
        <v>2476443.392930211</v>
      </c>
      <c r="AX185" s="199"/>
    </row>
    <row r="186" spans="1:50">
      <c r="A186" s="73"/>
      <c r="B186" s="571">
        <f>+C186</f>
        <v>15</v>
      </c>
      <c r="C186" s="16">
        <f t="shared" ref="C186" si="255">+C185+1</f>
        <v>15</v>
      </c>
      <c r="D186" s="17">
        <v>1</v>
      </c>
      <c r="E186" s="18">
        <f t="shared" ca="1" si="221"/>
        <v>49522</v>
      </c>
      <c r="F186" s="10">
        <f>IF(Dashboard!$Q$5="Float",F185+Dashboard!$R$5/12,F185)</f>
        <v>0.04</v>
      </c>
      <c r="G186" s="14">
        <f t="shared" si="203"/>
        <v>169</v>
      </c>
      <c r="H186" s="5">
        <f t="shared" si="204"/>
        <v>2535859.7963338071</v>
      </c>
      <c r="I186" s="5">
        <f t="shared" si="191"/>
        <v>-17903.073579954722</v>
      </c>
      <c r="J186" s="5">
        <f t="shared" si="192"/>
        <v>-8452.8659877793561</v>
      </c>
      <c r="K186" s="5">
        <f t="shared" si="205"/>
        <v>-9450.2075921753658</v>
      </c>
      <c r="L186" s="5">
        <f t="shared" si="206"/>
        <v>2526409.5887416317</v>
      </c>
      <c r="M186" s="199"/>
      <c r="N186" s="16">
        <f t="shared" ca="1" si="207"/>
        <v>2</v>
      </c>
      <c r="O186" s="508">
        <f t="shared" ca="1" si="193"/>
        <v>17</v>
      </c>
      <c r="P186" s="16">
        <f t="shared" ca="1" si="194"/>
        <v>2</v>
      </c>
      <c r="Q186" s="17">
        <v>1</v>
      </c>
      <c r="R186" s="18">
        <f t="shared" si="222"/>
        <v>44927</v>
      </c>
      <c r="S186" s="10">
        <f t="shared" si="208"/>
        <v>0.04</v>
      </c>
      <c r="T186" s="14" t="str">
        <f t="shared" ca="1" si="209"/>
        <v>I/O</v>
      </c>
      <c r="U186" s="5">
        <f t="shared" ca="1" si="210"/>
        <v>500000</v>
      </c>
      <c r="V186" s="5">
        <f t="shared" ca="1" si="195"/>
        <v>-1666.6666666666667</v>
      </c>
      <c r="W186" s="5">
        <f t="shared" ca="1" si="196"/>
        <v>-1666.6666666666667</v>
      </c>
      <c r="X186" s="5">
        <f t="shared" ca="1" si="211"/>
        <v>0</v>
      </c>
      <c r="Y186" s="5">
        <f t="shared" ca="1" si="212"/>
        <v>500000</v>
      </c>
      <c r="Z186" s="199"/>
      <c r="AA186" s="16">
        <f t="shared" ca="1" si="200"/>
        <v>14</v>
      </c>
      <c r="AB186" s="508">
        <f t="shared" ca="1" si="197"/>
        <v>168</v>
      </c>
      <c r="AC186" s="16">
        <f t="shared" ref="AC186" si="256">+AC185+1</f>
        <v>15</v>
      </c>
      <c r="AD186" s="17">
        <v>1</v>
      </c>
      <c r="AE186" s="18">
        <f t="shared" ca="1" si="223"/>
        <v>49522</v>
      </c>
      <c r="AF186" s="10">
        <f>IF(Dashboard!$R$24="Float",AF185+Dashboard!$R$24/12,AF185)</f>
        <v>0.06</v>
      </c>
      <c r="AG186" s="14">
        <f t="shared" si="213"/>
        <v>169</v>
      </c>
      <c r="AH186" s="5">
        <f t="shared" si="214"/>
        <v>0</v>
      </c>
      <c r="AI186" s="5">
        <f t="shared" si="198"/>
        <v>0</v>
      </c>
      <c r="AJ186" s="5">
        <f t="shared" si="199"/>
        <v>0</v>
      </c>
      <c r="AK186" s="5">
        <f t="shared" si="215"/>
        <v>0</v>
      </c>
      <c r="AL186" s="5">
        <f t="shared" si="216"/>
        <v>0</v>
      </c>
      <c r="AM186" s="199"/>
      <c r="AN186" s="16">
        <f t="shared" ref="AN186" si="257">+AN185+1</f>
        <v>16</v>
      </c>
      <c r="AO186" s="17">
        <v>1</v>
      </c>
      <c r="AP186" s="18">
        <f t="shared" ca="1" si="224"/>
        <v>49522</v>
      </c>
      <c r="AQ186" s="10">
        <f>IF(Dashboard!$S$20="Float",AQ185+Dashboard!$T$20/12,AQ185)</f>
        <v>4.4999999999999998E-2</v>
      </c>
      <c r="AR186" s="14">
        <f t="shared" si="217"/>
        <v>169</v>
      </c>
      <c r="AS186" s="5">
        <f t="shared" si="218"/>
        <v>2476443.392930211</v>
      </c>
      <c r="AT186" s="5">
        <f t="shared" si="201"/>
        <v>-18117.07145554385</v>
      </c>
      <c r="AU186" s="5">
        <f t="shared" si="202"/>
        <v>-9286.6627234882908</v>
      </c>
      <c r="AV186" s="5">
        <f t="shared" si="219"/>
        <v>-8830.4087320555591</v>
      </c>
      <c r="AW186" s="5">
        <f t="shared" si="220"/>
        <v>2467612.9841981553</v>
      </c>
      <c r="AX186" s="199"/>
    </row>
    <row r="187" spans="1:50">
      <c r="A187" s="73"/>
      <c r="B187" s="572"/>
      <c r="C187" s="16">
        <f>+C186</f>
        <v>15</v>
      </c>
      <c r="D187" s="17">
        <f>+D186+1</f>
        <v>2</v>
      </c>
      <c r="E187" s="18">
        <f t="shared" ca="1" si="221"/>
        <v>49553</v>
      </c>
      <c r="F187" s="10">
        <f>IF(Dashboard!$Q$5="Float",F186+Dashboard!$R$5/12,F186)</f>
        <v>0.04</v>
      </c>
      <c r="G187" s="14">
        <f t="shared" si="203"/>
        <v>170</v>
      </c>
      <c r="H187" s="5">
        <f t="shared" si="204"/>
        <v>2526409.5887416317</v>
      </c>
      <c r="I187" s="5">
        <f t="shared" si="191"/>
        <v>-17903.073579954722</v>
      </c>
      <c r="J187" s="5">
        <f t="shared" si="192"/>
        <v>-8421.365295805439</v>
      </c>
      <c r="K187" s="5">
        <f t="shared" si="205"/>
        <v>-9481.7082841492829</v>
      </c>
      <c r="L187" s="5">
        <f t="shared" si="206"/>
        <v>2516927.8804574823</v>
      </c>
      <c r="M187" s="199"/>
      <c r="N187" s="16">
        <f t="shared" ca="1" si="207"/>
        <v>2</v>
      </c>
      <c r="O187" s="508">
        <f t="shared" ca="1" si="193"/>
        <v>18</v>
      </c>
      <c r="P187" s="16">
        <f t="shared" ca="1" si="194"/>
        <v>2</v>
      </c>
      <c r="Q187" s="17">
        <f>+Q186+1</f>
        <v>2</v>
      </c>
      <c r="R187" s="18">
        <f t="shared" si="222"/>
        <v>44958</v>
      </c>
      <c r="S187" s="10">
        <f t="shared" si="208"/>
        <v>0.04</v>
      </c>
      <c r="T187" s="14" t="str">
        <f t="shared" ca="1" si="209"/>
        <v>I/O</v>
      </c>
      <c r="U187" s="5">
        <f t="shared" ca="1" si="210"/>
        <v>500000</v>
      </c>
      <c r="V187" s="5">
        <f t="shared" ca="1" si="195"/>
        <v>-1666.6666666666667</v>
      </c>
      <c r="W187" s="5">
        <f t="shared" ca="1" si="196"/>
        <v>-1666.6666666666667</v>
      </c>
      <c r="X187" s="5">
        <f t="shared" ca="1" si="211"/>
        <v>0</v>
      </c>
      <c r="Y187" s="5">
        <f t="shared" ca="1" si="212"/>
        <v>500000</v>
      </c>
      <c r="Z187" s="199"/>
      <c r="AA187" s="16">
        <f t="shared" ca="1" si="200"/>
        <v>15</v>
      </c>
      <c r="AB187" s="508">
        <f t="shared" ca="1" si="197"/>
        <v>169</v>
      </c>
      <c r="AC187" s="16">
        <f>+AC186</f>
        <v>15</v>
      </c>
      <c r="AD187" s="17">
        <f>+AD186+1</f>
        <v>2</v>
      </c>
      <c r="AE187" s="18">
        <f t="shared" ca="1" si="223"/>
        <v>49553</v>
      </c>
      <c r="AF187" s="10">
        <f>IF(Dashboard!$R$24="Float",AF186+Dashboard!$R$24/12,AF186)</f>
        <v>0.06</v>
      </c>
      <c r="AG187" s="14">
        <f t="shared" si="213"/>
        <v>170</v>
      </c>
      <c r="AH187" s="5">
        <f t="shared" si="214"/>
        <v>0</v>
      </c>
      <c r="AI187" s="5">
        <f t="shared" si="198"/>
        <v>0</v>
      </c>
      <c r="AJ187" s="5">
        <f t="shared" si="199"/>
        <v>0</v>
      </c>
      <c r="AK187" s="5">
        <f t="shared" si="215"/>
        <v>0</v>
      </c>
      <c r="AL187" s="5">
        <f t="shared" si="216"/>
        <v>0</v>
      </c>
      <c r="AM187" s="199"/>
      <c r="AN187" s="16">
        <f>+AN186</f>
        <v>16</v>
      </c>
      <c r="AO187" s="17">
        <f>+AO186+1</f>
        <v>2</v>
      </c>
      <c r="AP187" s="18">
        <f t="shared" ca="1" si="224"/>
        <v>49553</v>
      </c>
      <c r="AQ187" s="10">
        <f>IF(Dashboard!$S$20="Float",AQ186+Dashboard!$T$20/12,AQ186)</f>
        <v>4.4999999999999998E-2</v>
      </c>
      <c r="AR187" s="14">
        <f t="shared" si="217"/>
        <v>170</v>
      </c>
      <c r="AS187" s="5">
        <f t="shared" si="218"/>
        <v>2467612.9841981553</v>
      </c>
      <c r="AT187" s="5">
        <f t="shared" si="201"/>
        <v>-18117.07145554385</v>
      </c>
      <c r="AU187" s="5">
        <f t="shared" si="202"/>
        <v>-9253.5486907430823</v>
      </c>
      <c r="AV187" s="5">
        <f t="shared" si="219"/>
        <v>-8863.5227648007676</v>
      </c>
      <c r="AW187" s="5">
        <f t="shared" si="220"/>
        <v>2458749.4614333548</v>
      </c>
      <c r="AX187" s="199"/>
    </row>
    <row r="188" spans="1:50">
      <c r="A188" s="73"/>
      <c r="B188" s="572"/>
      <c r="C188" s="16">
        <f>+C187</f>
        <v>15</v>
      </c>
      <c r="D188" s="17">
        <f>+D187+1</f>
        <v>3</v>
      </c>
      <c r="E188" s="18">
        <f t="shared" ca="1" si="221"/>
        <v>49583</v>
      </c>
      <c r="F188" s="10">
        <f>IF(Dashboard!$Q$5="Float",F187+Dashboard!$R$5/12,F187)</f>
        <v>0.04</v>
      </c>
      <c r="G188" s="14">
        <f t="shared" si="203"/>
        <v>171</v>
      </c>
      <c r="H188" s="5">
        <f t="shared" si="204"/>
        <v>2516927.8804574823</v>
      </c>
      <c r="I188" s="5">
        <f t="shared" si="191"/>
        <v>-17903.073579954718</v>
      </c>
      <c r="J188" s="5">
        <f t="shared" si="192"/>
        <v>-8389.7596015249419</v>
      </c>
      <c r="K188" s="5">
        <f t="shared" si="205"/>
        <v>-9513.3139784297764</v>
      </c>
      <c r="L188" s="5">
        <f t="shared" si="206"/>
        <v>2507414.5664790524</v>
      </c>
      <c r="M188" s="199"/>
      <c r="N188" s="16">
        <f t="shared" ca="1" si="207"/>
        <v>2</v>
      </c>
      <c r="O188" s="508">
        <f t="shared" ca="1" si="193"/>
        <v>19</v>
      </c>
      <c r="P188" s="16">
        <f t="shared" ca="1" si="194"/>
        <v>2</v>
      </c>
      <c r="Q188" s="17">
        <f>+Q187+1</f>
        <v>3</v>
      </c>
      <c r="R188" s="18">
        <f t="shared" si="222"/>
        <v>44986</v>
      </c>
      <c r="S188" s="10">
        <f t="shared" si="208"/>
        <v>0.04</v>
      </c>
      <c r="T188" s="14" t="str">
        <f t="shared" ca="1" si="209"/>
        <v>I/O</v>
      </c>
      <c r="U188" s="5">
        <f t="shared" ca="1" si="210"/>
        <v>500000</v>
      </c>
      <c r="V188" s="5">
        <f t="shared" ca="1" si="195"/>
        <v>-1666.6666666666667</v>
      </c>
      <c r="W188" s="5">
        <f t="shared" ca="1" si="196"/>
        <v>-1666.6666666666667</v>
      </c>
      <c r="X188" s="5">
        <f t="shared" ca="1" si="211"/>
        <v>0</v>
      </c>
      <c r="Y188" s="5">
        <f t="shared" ca="1" si="212"/>
        <v>500000</v>
      </c>
      <c r="Z188" s="199"/>
      <c r="AA188" s="16">
        <f t="shared" ca="1" si="200"/>
        <v>15</v>
      </c>
      <c r="AB188" s="508">
        <f t="shared" ca="1" si="197"/>
        <v>170</v>
      </c>
      <c r="AC188" s="16">
        <f>+AC187</f>
        <v>15</v>
      </c>
      <c r="AD188" s="17">
        <f>+AD187+1</f>
        <v>3</v>
      </c>
      <c r="AE188" s="18">
        <f t="shared" ca="1" si="223"/>
        <v>49583</v>
      </c>
      <c r="AF188" s="10">
        <f>IF(Dashboard!$R$24="Float",AF187+Dashboard!$R$24/12,AF187)</f>
        <v>0.06</v>
      </c>
      <c r="AG188" s="14">
        <f t="shared" si="213"/>
        <v>171</v>
      </c>
      <c r="AH188" s="5">
        <f t="shared" si="214"/>
        <v>0</v>
      </c>
      <c r="AI188" s="5">
        <f t="shared" si="198"/>
        <v>0</v>
      </c>
      <c r="AJ188" s="5">
        <f t="shared" si="199"/>
        <v>0</v>
      </c>
      <c r="AK188" s="5">
        <f t="shared" si="215"/>
        <v>0</v>
      </c>
      <c r="AL188" s="5">
        <f t="shared" si="216"/>
        <v>0</v>
      </c>
      <c r="AM188" s="199"/>
      <c r="AN188" s="16">
        <f>+AN187</f>
        <v>16</v>
      </c>
      <c r="AO188" s="17">
        <f>+AO187+1</f>
        <v>3</v>
      </c>
      <c r="AP188" s="18">
        <f t="shared" ca="1" si="224"/>
        <v>49583</v>
      </c>
      <c r="AQ188" s="10">
        <f>IF(Dashboard!$S$20="Float",AQ187+Dashboard!$T$20/12,AQ187)</f>
        <v>4.4999999999999998E-2</v>
      </c>
      <c r="AR188" s="14">
        <f t="shared" si="217"/>
        <v>171</v>
      </c>
      <c r="AS188" s="5">
        <f t="shared" si="218"/>
        <v>2458749.4614333548</v>
      </c>
      <c r="AT188" s="5">
        <f t="shared" si="201"/>
        <v>-18117.071455543854</v>
      </c>
      <c r="AU188" s="5">
        <f t="shared" si="202"/>
        <v>-9220.3104803750812</v>
      </c>
      <c r="AV188" s="5">
        <f t="shared" si="219"/>
        <v>-8896.7609751687723</v>
      </c>
      <c r="AW188" s="5">
        <f t="shared" si="220"/>
        <v>2449852.7004581862</v>
      </c>
      <c r="AX188" s="199"/>
    </row>
    <row r="189" spans="1:50">
      <c r="A189" s="73"/>
      <c r="B189" s="572"/>
      <c r="C189" s="16">
        <f>+C188</f>
        <v>15</v>
      </c>
      <c r="D189" s="17">
        <f t="shared" ref="D189:D197" si="258">+D188+1</f>
        <v>4</v>
      </c>
      <c r="E189" s="18">
        <f t="shared" ca="1" si="221"/>
        <v>49614</v>
      </c>
      <c r="F189" s="10">
        <f>IF(Dashboard!$Q$5="Float",F188+Dashboard!$R$5/12,F188)</f>
        <v>0.04</v>
      </c>
      <c r="G189" s="14">
        <f t="shared" si="203"/>
        <v>172</v>
      </c>
      <c r="H189" s="5">
        <f t="shared" si="204"/>
        <v>2507414.5664790524</v>
      </c>
      <c r="I189" s="5">
        <f t="shared" si="191"/>
        <v>-17903.073579954722</v>
      </c>
      <c r="J189" s="5">
        <f t="shared" si="192"/>
        <v>-8358.0485549301757</v>
      </c>
      <c r="K189" s="5">
        <f t="shared" si="205"/>
        <v>-9545.0250250245463</v>
      </c>
      <c r="L189" s="5">
        <f t="shared" si="206"/>
        <v>2497869.5414540279</v>
      </c>
      <c r="M189" s="199"/>
      <c r="N189" s="16">
        <f t="shared" ca="1" si="207"/>
        <v>2</v>
      </c>
      <c r="O189" s="508">
        <f t="shared" ca="1" si="193"/>
        <v>20</v>
      </c>
      <c r="P189" s="16">
        <f t="shared" ca="1" si="194"/>
        <v>2</v>
      </c>
      <c r="Q189" s="17">
        <f t="shared" ref="Q189:Q197" si="259">+Q188+1</f>
        <v>4</v>
      </c>
      <c r="R189" s="18">
        <f t="shared" si="222"/>
        <v>45017</v>
      </c>
      <c r="S189" s="10">
        <f t="shared" si="208"/>
        <v>0.04</v>
      </c>
      <c r="T189" s="14" t="str">
        <f t="shared" ca="1" si="209"/>
        <v>I/O</v>
      </c>
      <c r="U189" s="5">
        <f t="shared" ca="1" si="210"/>
        <v>500000</v>
      </c>
      <c r="V189" s="5">
        <f t="shared" ca="1" si="195"/>
        <v>-1666.6666666666667</v>
      </c>
      <c r="W189" s="5">
        <f t="shared" ca="1" si="196"/>
        <v>-1666.6666666666667</v>
      </c>
      <c r="X189" s="5">
        <f t="shared" ca="1" si="211"/>
        <v>0</v>
      </c>
      <c r="Y189" s="5">
        <f t="shared" ca="1" si="212"/>
        <v>500000</v>
      </c>
      <c r="Z189" s="199"/>
      <c r="AA189" s="16">
        <f t="shared" ca="1" si="200"/>
        <v>15</v>
      </c>
      <c r="AB189" s="508">
        <f t="shared" ca="1" si="197"/>
        <v>171</v>
      </c>
      <c r="AC189" s="16">
        <f>+AC188</f>
        <v>15</v>
      </c>
      <c r="AD189" s="17">
        <f t="shared" ref="AD189:AD197" si="260">+AD188+1</f>
        <v>4</v>
      </c>
      <c r="AE189" s="18">
        <f t="shared" ca="1" si="223"/>
        <v>49614</v>
      </c>
      <c r="AF189" s="10">
        <f>IF(Dashboard!$R$24="Float",AF188+Dashboard!$R$24/12,AF188)</f>
        <v>0.06</v>
      </c>
      <c r="AG189" s="14">
        <f t="shared" si="213"/>
        <v>172</v>
      </c>
      <c r="AH189" s="5">
        <f t="shared" si="214"/>
        <v>0</v>
      </c>
      <c r="AI189" s="5">
        <f t="shared" si="198"/>
        <v>0</v>
      </c>
      <c r="AJ189" s="5">
        <f t="shared" si="199"/>
        <v>0</v>
      </c>
      <c r="AK189" s="5">
        <f t="shared" si="215"/>
        <v>0</v>
      </c>
      <c r="AL189" s="5">
        <f t="shared" si="216"/>
        <v>0</v>
      </c>
      <c r="AM189" s="199"/>
      <c r="AN189" s="16">
        <f>+AN188</f>
        <v>16</v>
      </c>
      <c r="AO189" s="17">
        <f t="shared" ref="AO189:AO197" si="261">+AO188+1</f>
        <v>4</v>
      </c>
      <c r="AP189" s="18">
        <f t="shared" ca="1" si="224"/>
        <v>49614</v>
      </c>
      <c r="AQ189" s="10">
        <f>IF(Dashboard!$S$20="Float",AQ188+Dashboard!$T$20/12,AQ188)</f>
        <v>4.4999999999999998E-2</v>
      </c>
      <c r="AR189" s="14">
        <f t="shared" si="217"/>
        <v>172</v>
      </c>
      <c r="AS189" s="5">
        <f t="shared" si="218"/>
        <v>2449852.7004581862</v>
      </c>
      <c r="AT189" s="5">
        <f t="shared" si="201"/>
        <v>-18117.071455543854</v>
      </c>
      <c r="AU189" s="5">
        <f t="shared" si="202"/>
        <v>-9186.9476267181981</v>
      </c>
      <c r="AV189" s="5">
        <f t="shared" si="219"/>
        <v>-8930.1238288256554</v>
      </c>
      <c r="AW189" s="5">
        <f t="shared" si="220"/>
        <v>2440922.5766293607</v>
      </c>
      <c r="AX189" s="199"/>
    </row>
    <row r="190" spans="1:50">
      <c r="A190" s="73"/>
      <c r="B190" s="572"/>
      <c r="C190" s="16">
        <f t="shared" ref="C190:C197" si="262">+C189</f>
        <v>15</v>
      </c>
      <c r="D190" s="17">
        <f t="shared" si="258"/>
        <v>5</v>
      </c>
      <c r="E190" s="18">
        <f t="shared" ca="1" si="221"/>
        <v>49644</v>
      </c>
      <c r="F190" s="10">
        <f>IF(Dashboard!$Q$5="Float",F189+Dashboard!$R$5/12,F189)</f>
        <v>0.04</v>
      </c>
      <c r="G190" s="14">
        <f t="shared" si="203"/>
        <v>173</v>
      </c>
      <c r="H190" s="5">
        <f t="shared" si="204"/>
        <v>2497869.5414540279</v>
      </c>
      <c r="I190" s="5">
        <f t="shared" si="191"/>
        <v>-17903.073579954718</v>
      </c>
      <c r="J190" s="5">
        <f t="shared" si="192"/>
        <v>-8326.2318048467587</v>
      </c>
      <c r="K190" s="5">
        <f t="shared" si="205"/>
        <v>-9576.8417751079596</v>
      </c>
      <c r="L190" s="5">
        <f t="shared" si="206"/>
        <v>2488292.6996789197</v>
      </c>
      <c r="M190" s="199"/>
      <c r="N190" s="16">
        <f t="shared" ca="1" si="207"/>
        <v>2</v>
      </c>
      <c r="O190" s="508">
        <f t="shared" ca="1" si="193"/>
        <v>21</v>
      </c>
      <c r="P190" s="16">
        <f t="shared" ca="1" si="194"/>
        <v>2</v>
      </c>
      <c r="Q190" s="17">
        <f t="shared" si="259"/>
        <v>5</v>
      </c>
      <c r="R190" s="18">
        <f t="shared" si="222"/>
        <v>45047</v>
      </c>
      <c r="S190" s="10">
        <f t="shared" si="208"/>
        <v>0.04</v>
      </c>
      <c r="T190" s="14" t="str">
        <f t="shared" ca="1" si="209"/>
        <v>I/O</v>
      </c>
      <c r="U190" s="5">
        <f t="shared" ca="1" si="210"/>
        <v>500000</v>
      </c>
      <c r="V190" s="5">
        <f t="shared" ca="1" si="195"/>
        <v>-1666.6666666666667</v>
      </c>
      <c r="W190" s="5">
        <f t="shared" ca="1" si="196"/>
        <v>-1666.6666666666667</v>
      </c>
      <c r="X190" s="5">
        <f t="shared" ca="1" si="211"/>
        <v>0</v>
      </c>
      <c r="Y190" s="5">
        <f t="shared" ca="1" si="212"/>
        <v>500000</v>
      </c>
      <c r="Z190" s="199"/>
      <c r="AA190" s="16">
        <f t="shared" ca="1" si="200"/>
        <v>15</v>
      </c>
      <c r="AB190" s="508">
        <f t="shared" ca="1" si="197"/>
        <v>172</v>
      </c>
      <c r="AC190" s="16">
        <f t="shared" ref="AC190:AC197" si="263">+AC189</f>
        <v>15</v>
      </c>
      <c r="AD190" s="17">
        <f t="shared" si="260"/>
        <v>5</v>
      </c>
      <c r="AE190" s="18">
        <f t="shared" ca="1" si="223"/>
        <v>49644</v>
      </c>
      <c r="AF190" s="10">
        <f>IF(Dashboard!$R$24="Float",AF189+Dashboard!$R$24/12,AF189)</f>
        <v>0.06</v>
      </c>
      <c r="AG190" s="14">
        <f t="shared" si="213"/>
        <v>173</v>
      </c>
      <c r="AH190" s="5">
        <f t="shared" si="214"/>
        <v>0</v>
      </c>
      <c r="AI190" s="5">
        <f t="shared" si="198"/>
        <v>0</v>
      </c>
      <c r="AJ190" s="5">
        <f t="shared" si="199"/>
        <v>0</v>
      </c>
      <c r="AK190" s="5">
        <f t="shared" si="215"/>
        <v>0</v>
      </c>
      <c r="AL190" s="5">
        <f t="shared" si="216"/>
        <v>0</v>
      </c>
      <c r="AM190" s="199"/>
      <c r="AN190" s="16">
        <f t="shared" ref="AN190:AN197" si="264">+AN189</f>
        <v>16</v>
      </c>
      <c r="AO190" s="17">
        <f t="shared" si="261"/>
        <v>5</v>
      </c>
      <c r="AP190" s="18">
        <f t="shared" ca="1" si="224"/>
        <v>49644</v>
      </c>
      <c r="AQ190" s="10">
        <f>IF(Dashboard!$S$20="Float",AQ189+Dashboard!$T$20/12,AQ189)</f>
        <v>4.4999999999999998E-2</v>
      </c>
      <c r="AR190" s="14">
        <f t="shared" si="217"/>
        <v>173</v>
      </c>
      <c r="AS190" s="5">
        <f t="shared" si="218"/>
        <v>2440922.5766293607</v>
      </c>
      <c r="AT190" s="5">
        <f t="shared" si="201"/>
        <v>-18117.071455543854</v>
      </c>
      <c r="AU190" s="5">
        <f t="shared" si="202"/>
        <v>-9153.459662360101</v>
      </c>
      <c r="AV190" s="5">
        <f t="shared" si="219"/>
        <v>-8963.6117931837525</v>
      </c>
      <c r="AW190" s="5">
        <f t="shared" si="220"/>
        <v>2431958.964836177</v>
      </c>
      <c r="AX190" s="199"/>
    </row>
    <row r="191" spans="1:50">
      <c r="A191" s="73"/>
      <c r="B191" s="572"/>
      <c r="C191" s="16">
        <f t="shared" si="262"/>
        <v>15</v>
      </c>
      <c r="D191" s="17">
        <f t="shared" si="258"/>
        <v>6</v>
      </c>
      <c r="E191" s="18">
        <f t="shared" ca="1" si="221"/>
        <v>49675</v>
      </c>
      <c r="F191" s="10">
        <f>IF(Dashboard!$Q$5="Float",F190+Dashboard!$R$5/12,F190)</f>
        <v>0.04</v>
      </c>
      <c r="G191" s="14">
        <f t="shared" si="203"/>
        <v>174</v>
      </c>
      <c r="H191" s="5">
        <f t="shared" si="204"/>
        <v>2488292.6996789197</v>
      </c>
      <c r="I191" s="5">
        <f t="shared" si="191"/>
        <v>-17903.073579954722</v>
      </c>
      <c r="J191" s="5">
        <f t="shared" si="192"/>
        <v>-8294.3089989297332</v>
      </c>
      <c r="K191" s="5">
        <f t="shared" si="205"/>
        <v>-9608.7645810249887</v>
      </c>
      <c r="L191" s="5">
        <f t="shared" si="206"/>
        <v>2478683.9350978946</v>
      </c>
      <c r="M191" s="199"/>
      <c r="N191" s="16">
        <f t="shared" ca="1" si="207"/>
        <v>2</v>
      </c>
      <c r="O191" s="508">
        <f t="shared" ca="1" si="193"/>
        <v>22</v>
      </c>
      <c r="P191" s="16">
        <f t="shared" ca="1" si="194"/>
        <v>2</v>
      </c>
      <c r="Q191" s="17">
        <f t="shared" si="259"/>
        <v>6</v>
      </c>
      <c r="R191" s="18">
        <f t="shared" si="222"/>
        <v>45078</v>
      </c>
      <c r="S191" s="10">
        <f t="shared" si="208"/>
        <v>0.04</v>
      </c>
      <c r="T191" s="14" t="str">
        <f t="shared" ca="1" si="209"/>
        <v>I/O</v>
      </c>
      <c r="U191" s="5">
        <f t="shared" ca="1" si="210"/>
        <v>500000</v>
      </c>
      <c r="V191" s="5">
        <f t="shared" ca="1" si="195"/>
        <v>-1666.6666666666667</v>
      </c>
      <c r="W191" s="5">
        <f t="shared" ca="1" si="196"/>
        <v>-1666.6666666666667</v>
      </c>
      <c r="X191" s="5">
        <f t="shared" ca="1" si="211"/>
        <v>0</v>
      </c>
      <c r="Y191" s="5">
        <f t="shared" ca="1" si="212"/>
        <v>500000</v>
      </c>
      <c r="Z191" s="199"/>
      <c r="AA191" s="16">
        <f t="shared" ca="1" si="200"/>
        <v>15</v>
      </c>
      <c r="AB191" s="508">
        <f t="shared" ca="1" si="197"/>
        <v>173</v>
      </c>
      <c r="AC191" s="16">
        <f t="shared" si="263"/>
        <v>15</v>
      </c>
      <c r="AD191" s="17">
        <f t="shared" si="260"/>
        <v>6</v>
      </c>
      <c r="AE191" s="18">
        <f t="shared" ca="1" si="223"/>
        <v>49675</v>
      </c>
      <c r="AF191" s="10">
        <f>IF(Dashboard!$R$24="Float",AF190+Dashboard!$R$24/12,AF190)</f>
        <v>0.06</v>
      </c>
      <c r="AG191" s="14">
        <f t="shared" si="213"/>
        <v>174</v>
      </c>
      <c r="AH191" s="5">
        <f t="shared" si="214"/>
        <v>0</v>
      </c>
      <c r="AI191" s="5">
        <f t="shared" si="198"/>
        <v>0</v>
      </c>
      <c r="AJ191" s="5">
        <f t="shared" si="199"/>
        <v>0</v>
      </c>
      <c r="AK191" s="5">
        <f t="shared" si="215"/>
        <v>0</v>
      </c>
      <c r="AL191" s="5">
        <f t="shared" si="216"/>
        <v>0</v>
      </c>
      <c r="AM191" s="199"/>
      <c r="AN191" s="16">
        <f t="shared" si="264"/>
        <v>16</v>
      </c>
      <c r="AO191" s="17">
        <f t="shared" si="261"/>
        <v>6</v>
      </c>
      <c r="AP191" s="18">
        <f t="shared" ca="1" si="224"/>
        <v>49675</v>
      </c>
      <c r="AQ191" s="10">
        <f>IF(Dashboard!$S$20="Float",AQ190+Dashboard!$T$20/12,AQ190)</f>
        <v>4.4999999999999998E-2</v>
      </c>
      <c r="AR191" s="14">
        <f t="shared" si="217"/>
        <v>174</v>
      </c>
      <c r="AS191" s="5">
        <f t="shared" si="218"/>
        <v>2431958.964836177</v>
      </c>
      <c r="AT191" s="5">
        <f t="shared" si="201"/>
        <v>-18117.071455543854</v>
      </c>
      <c r="AU191" s="5">
        <f t="shared" si="202"/>
        <v>-9119.8461181356633</v>
      </c>
      <c r="AV191" s="5">
        <f t="shared" si="219"/>
        <v>-8997.2253374081902</v>
      </c>
      <c r="AW191" s="5">
        <f t="shared" si="220"/>
        <v>2422961.7394987689</v>
      </c>
      <c r="AX191" s="199"/>
    </row>
    <row r="192" spans="1:50">
      <c r="A192" s="73"/>
      <c r="B192" s="572"/>
      <c r="C192" s="16">
        <f t="shared" si="262"/>
        <v>15</v>
      </c>
      <c r="D192" s="17">
        <f t="shared" si="258"/>
        <v>7</v>
      </c>
      <c r="E192" s="18">
        <f t="shared" ca="1" si="221"/>
        <v>49706</v>
      </c>
      <c r="F192" s="10">
        <f>IF(Dashboard!$Q$5="Float",F191+Dashboard!$R$5/12,F191)</f>
        <v>0.04</v>
      </c>
      <c r="G192" s="14">
        <f t="shared" si="203"/>
        <v>175</v>
      </c>
      <c r="H192" s="5">
        <f t="shared" si="204"/>
        <v>2478683.9350978946</v>
      </c>
      <c r="I192" s="5">
        <f t="shared" si="191"/>
        <v>-17903.073579954718</v>
      </c>
      <c r="J192" s="5">
        <f t="shared" si="192"/>
        <v>-8262.2797836596492</v>
      </c>
      <c r="K192" s="5">
        <f t="shared" si="205"/>
        <v>-9640.7937962950691</v>
      </c>
      <c r="L192" s="5">
        <f t="shared" si="206"/>
        <v>2469043.1413015993</v>
      </c>
      <c r="M192" s="199"/>
      <c r="N192" s="16">
        <f t="shared" ca="1" si="207"/>
        <v>2</v>
      </c>
      <c r="O192" s="508">
        <f t="shared" ca="1" si="193"/>
        <v>23</v>
      </c>
      <c r="P192" s="16">
        <f t="shared" ca="1" si="194"/>
        <v>2</v>
      </c>
      <c r="Q192" s="17">
        <f t="shared" si="259"/>
        <v>7</v>
      </c>
      <c r="R192" s="18">
        <f t="shared" si="222"/>
        <v>45108</v>
      </c>
      <c r="S192" s="10">
        <f t="shared" si="208"/>
        <v>0.04</v>
      </c>
      <c r="T192" s="14" t="str">
        <f t="shared" ca="1" si="209"/>
        <v>I/O</v>
      </c>
      <c r="U192" s="5">
        <f t="shared" ca="1" si="210"/>
        <v>500000</v>
      </c>
      <c r="V192" s="5">
        <f t="shared" ca="1" si="195"/>
        <v>-1666.6666666666667</v>
      </c>
      <c r="W192" s="5">
        <f t="shared" ca="1" si="196"/>
        <v>-1666.6666666666667</v>
      </c>
      <c r="X192" s="5">
        <f t="shared" ca="1" si="211"/>
        <v>0</v>
      </c>
      <c r="Y192" s="5">
        <f t="shared" ca="1" si="212"/>
        <v>500000</v>
      </c>
      <c r="Z192" s="199"/>
      <c r="AA192" s="16">
        <f t="shared" ca="1" si="200"/>
        <v>15</v>
      </c>
      <c r="AB192" s="508">
        <f t="shared" ca="1" si="197"/>
        <v>174</v>
      </c>
      <c r="AC192" s="16">
        <f t="shared" si="263"/>
        <v>15</v>
      </c>
      <c r="AD192" s="17">
        <f t="shared" si="260"/>
        <v>7</v>
      </c>
      <c r="AE192" s="18">
        <f t="shared" ca="1" si="223"/>
        <v>49706</v>
      </c>
      <c r="AF192" s="10">
        <f>IF(Dashboard!$R$24="Float",AF191+Dashboard!$R$24/12,AF191)</f>
        <v>0.06</v>
      </c>
      <c r="AG192" s="14">
        <f t="shared" si="213"/>
        <v>175</v>
      </c>
      <c r="AH192" s="5">
        <f t="shared" si="214"/>
        <v>0</v>
      </c>
      <c r="AI192" s="5">
        <f t="shared" si="198"/>
        <v>0</v>
      </c>
      <c r="AJ192" s="5">
        <f t="shared" si="199"/>
        <v>0</v>
      </c>
      <c r="AK192" s="5">
        <f t="shared" si="215"/>
        <v>0</v>
      </c>
      <c r="AL192" s="5">
        <f t="shared" si="216"/>
        <v>0</v>
      </c>
      <c r="AM192" s="199"/>
      <c r="AN192" s="16">
        <f t="shared" si="264"/>
        <v>16</v>
      </c>
      <c r="AO192" s="17">
        <f t="shared" si="261"/>
        <v>7</v>
      </c>
      <c r="AP192" s="18">
        <f t="shared" ca="1" si="224"/>
        <v>49706</v>
      </c>
      <c r="AQ192" s="10">
        <f>IF(Dashboard!$S$20="Float",AQ191+Dashboard!$T$20/12,AQ191)</f>
        <v>4.4999999999999998E-2</v>
      </c>
      <c r="AR192" s="14">
        <f t="shared" si="217"/>
        <v>175</v>
      </c>
      <c r="AS192" s="5">
        <f t="shared" si="218"/>
        <v>2422961.7394987689</v>
      </c>
      <c r="AT192" s="5">
        <f t="shared" si="201"/>
        <v>-18117.071455543857</v>
      </c>
      <c r="AU192" s="5">
        <f t="shared" si="202"/>
        <v>-9086.1065231203829</v>
      </c>
      <c r="AV192" s="5">
        <f t="shared" si="219"/>
        <v>-9030.9649324234742</v>
      </c>
      <c r="AW192" s="5">
        <f t="shared" si="220"/>
        <v>2413930.7745663454</v>
      </c>
      <c r="AX192" s="199"/>
    </row>
    <row r="193" spans="1:50">
      <c r="A193" s="73"/>
      <c r="B193" s="572"/>
      <c r="C193" s="16">
        <f t="shared" si="262"/>
        <v>15</v>
      </c>
      <c r="D193" s="17">
        <f t="shared" si="258"/>
        <v>8</v>
      </c>
      <c r="E193" s="18">
        <f t="shared" ca="1" si="221"/>
        <v>49735</v>
      </c>
      <c r="F193" s="10">
        <f>IF(Dashboard!$Q$5="Float",F192+Dashboard!$R$5/12,F192)</f>
        <v>0.04</v>
      </c>
      <c r="G193" s="14">
        <f t="shared" si="203"/>
        <v>176</v>
      </c>
      <c r="H193" s="5">
        <f t="shared" si="204"/>
        <v>2469043.1413015993</v>
      </c>
      <c r="I193" s="5">
        <f t="shared" si="191"/>
        <v>-17903.073579954715</v>
      </c>
      <c r="J193" s="5">
        <f t="shared" si="192"/>
        <v>-8230.1438043386643</v>
      </c>
      <c r="K193" s="5">
        <f t="shared" si="205"/>
        <v>-9672.9297756160504</v>
      </c>
      <c r="L193" s="5">
        <f t="shared" si="206"/>
        <v>2459370.2115259832</v>
      </c>
      <c r="M193" s="199"/>
      <c r="N193" s="16">
        <f t="shared" ca="1" si="207"/>
        <v>2</v>
      </c>
      <c r="O193" s="508">
        <f t="shared" ca="1" si="193"/>
        <v>24</v>
      </c>
      <c r="P193" s="16">
        <f t="shared" ca="1" si="194"/>
        <v>3</v>
      </c>
      <c r="Q193" s="17">
        <f t="shared" si="259"/>
        <v>8</v>
      </c>
      <c r="R193" s="18">
        <f t="shared" si="222"/>
        <v>45139</v>
      </c>
      <c r="S193" s="10">
        <f t="shared" si="208"/>
        <v>0.04</v>
      </c>
      <c r="T193" s="14" t="str">
        <f t="shared" ca="1" si="209"/>
        <v>I/O</v>
      </c>
      <c r="U193" s="5">
        <f t="shared" ca="1" si="210"/>
        <v>500000</v>
      </c>
      <c r="V193" s="5">
        <f t="shared" ca="1" si="195"/>
        <v>-1666.6666666666667</v>
      </c>
      <c r="W193" s="5">
        <f t="shared" ca="1" si="196"/>
        <v>-1666.6666666666667</v>
      </c>
      <c r="X193" s="5">
        <f t="shared" ca="1" si="211"/>
        <v>0</v>
      </c>
      <c r="Y193" s="5">
        <f t="shared" ca="1" si="212"/>
        <v>500000</v>
      </c>
      <c r="Z193" s="199"/>
      <c r="AA193" s="16">
        <f t="shared" ca="1" si="200"/>
        <v>15</v>
      </c>
      <c r="AB193" s="508">
        <f t="shared" ca="1" si="197"/>
        <v>175</v>
      </c>
      <c r="AC193" s="16">
        <f t="shared" si="263"/>
        <v>15</v>
      </c>
      <c r="AD193" s="17">
        <f t="shared" si="260"/>
        <v>8</v>
      </c>
      <c r="AE193" s="18">
        <f t="shared" ca="1" si="223"/>
        <v>49735</v>
      </c>
      <c r="AF193" s="10">
        <f>IF(Dashboard!$R$24="Float",AF192+Dashboard!$R$24/12,AF192)</f>
        <v>0.06</v>
      </c>
      <c r="AG193" s="14">
        <f t="shared" si="213"/>
        <v>176</v>
      </c>
      <c r="AH193" s="5">
        <f t="shared" si="214"/>
        <v>0</v>
      </c>
      <c r="AI193" s="5">
        <f t="shared" si="198"/>
        <v>0</v>
      </c>
      <c r="AJ193" s="5">
        <f t="shared" si="199"/>
        <v>0</v>
      </c>
      <c r="AK193" s="5">
        <f t="shared" si="215"/>
        <v>0</v>
      </c>
      <c r="AL193" s="5">
        <f t="shared" si="216"/>
        <v>0</v>
      </c>
      <c r="AM193" s="199"/>
      <c r="AN193" s="16">
        <f t="shared" si="264"/>
        <v>16</v>
      </c>
      <c r="AO193" s="17">
        <f t="shared" si="261"/>
        <v>8</v>
      </c>
      <c r="AP193" s="18">
        <f t="shared" ca="1" si="224"/>
        <v>49735</v>
      </c>
      <c r="AQ193" s="10">
        <f>IF(Dashboard!$S$20="Float",AQ192+Dashboard!$T$20/12,AQ192)</f>
        <v>4.4999999999999998E-2</v>
      </c>
      <c r="AR193" s="14">
        <f t="shared" si="217"/>
        <v>176</v>
      </c>
      <c r="AS193" s="5">
        <f t="shared" si="218"/>
        <v>2413930.7745663454</v>
      </c>
      <c r="AT193" s="5">
        <f t="shared" si="201"/>
        <v>-18117.071455543857</v>
      </c>
      <c r="AU193" s="5">
        <f t="shared" si="202"/>
        <v>-9052.2404046237953</v>
      </c>
      <c r="AV193" s="5">
        <f t="shared" si="219"/>
        <v>-9064.8310509200619</v>
      </c>
      <c r="AW193" s="5">
        <f t="shared" si="220"/>
        <v>2404865.9435154255</v>
      </c>
      <c r="AX193" s="199"/>
    </row>
    <row r="194" spans="1:50">
      <c r="A194" s="73"/>
      <c r="B194" s="572"/>
      <c r="C194" s="16">
        <f t="shared" si="262"/>
        <v>15</v>
      </c>
      <c r="D194" s="17">
        <f t="shared" si="258"/>
        <v>9</v>
      </c>
      <c r="E194" s="18">
        <f t="shared" ca="1" si="221"/>
        <v>49766</v>
      </c>
      <c r="F194" s="10">
        <f>IF(Dashboard!$Q$5="Float",F193+Dashboard!$R$5/12,F193)</f>
        <v>0.04</v>
      </c>
      <c r="G194" s="14">
        <f t="shared" si="203"/>
        <v>177</v>
      </c>
      <c r="H194" s="5">
        <f t="shared" si="204"/>
        <v>2459370.2115259832</v>
      </c>
      <c r="I194" s="5">
        <f t="shared" si="191"/>
        <v>-17903.073579954715</v>
      </c>
      <c r="J194" s="5">
        <f t="shared" si="192"/>
        <v>-8197.9007050866112</v>
      </c>
      <c r="K194" s="5">
        <f t="shared" si="205"/>
        <v>-9705.1728748681035</v>
      </c>
      <c r="L194" s="5">
        <f t="shared" si="206"/>
        <v>2449665.0386511153</v>
      </c>
      <c r="M194" s="199"/>
      <c r="N194" s="16">
        <f t="shared" ca="1" si="207"/>
        <v>3</v>
      </c>
      <c r="O194" s="508">
        <f t="shared" ca="1" si="193"/>
        <v>25</v>
      </c>
      <c r="P194" s="16">
        <f t="shared" ca="1" si="194"/>
        <v>3</v>
      </c>
      <c r="Q194" s="17">
        <f t="shared" si="259"/>
        <v>9</v>
      </c>
      <c r="R194" s="18">
        <f t="shared" si="222"/>
        <v>45170</v>
      </c>
      <c r="S194" s="10">
        <f t="shared" si="208"/>
        <v>0.04</v>
      </c>
      <c r="T194" s="14" t="str">
        <f t="shared" ca="1" si="209"/>
        <v>I/O</v>
      </c>
      <c r="U194" s="5">
        <f t="shared" ca="1" si="210"/>
        <v>500000</v>
      </c>
      <c r="V194" s="5">
        <f t="shared" ca="1" si="195"/>
        <v>-1666.6666666666667</v>
      </c>
      <c r="W194" s="5">
        <f t="shared" ca="1" si="196"/>
        <v>-1666.6666666666667</v>
      </c>
      <c r="X194" s="5">
        <f t="shared" ca="1" si="211"/>
        <v>0</v>
      </c>
      <c r="Y194" s="5">
        <f t="shared" ca="1" si="212"/>
        <v>500000</v>
      </c>
      <c r="Z194" s="199"/>
      <c r="AA194" s="16">
        <f t="shared" ca="1" si="200"/>
        <v>15</v>
      </c>
      <c r="AB194" s="508">
        <f t="shared" ca="1" si="197"/>
        <v>176</v>
      </c>
      <c r="AC194" s="16">
        <f t="shared" si="263"/>
        <v>15</v>
      </c>
      <c r="AD194" s="17">
        <f t="shared" si="260"/>
        <v>9</v>
      </c>
      <c r="AE194" s="18">
        <f t="shared" ca="1" si="223"/>
        <v>49766</v>
      </c>
      <c r="AF194" s="10">
        <f>IF(Dashboard!$R$24="Float",AF193+Dashboard!$R$24/12,AF193)</f>
        <v>0.06</v>
      </c>
      <c r="AG194" s="14">
        <f t="shared" si="213"/>
        <v>177</v>
      </c>
      <c r="AH194" s="5">
        <f t="shared" si="214"/>
        <v>0</v>
      </c>
      <c r="AI194" s="5">
        <f t="shared" si="198"/>
        <v>0</v>
      </c>
      <c r="AJ194" s="5">
        <f t="shared" si="199"/>
        <v>0</v>
      </c>
      <c r="AK194" s="5">
        <f t="shared" si="215"/>
        <v>0</v>
      </c>
      <c r="AL194" s="5">
        <f t="shared" si="216"/>
        <v>0</v>
      </c>
      <c r="AM194" s="199"/>
      <c r="AN194" s="16">
        <f t="shared" si="264"/>
        <v>16</v>
      </c>
      <c r="AO194" s="17">
        <f t="shared" si="261"/>
        <v>9</v>
      </c>
      <c r="AP194" s="18">
        <f t="shared" ca="1" si="224"/>
        <v>49766</v>
      </c>
      <c r="AQ194" s="10">
        <f>IF(Dashboard!$S$20="Float",AQ193+Dashboard!$T$20/12,AQ193)</f>
        <v>4.4999999999999998E-2</v>
      </c>
      <c r="AR194" s="14">
        <f t="shared" si="217"/>
        <v>177</v>
      </c>
      <c r="AS194" s="5">
        <f t="shared" si="218"/>
        <v>2404865.9435154255</v>
      </c>
      <c r="AT194" s="5">
        <f t="shared" si="201"/>
        <v>-18117.071455543861</v>
      </c>
      <c r="AU194" s="5">
        <f t="shared" si="202"/>
        <v>-9018.2472881828453</v>
      </c>
      <c r="AV194" s="5">
        <f t="shared" si="219"/>
        <v>-9098.8241673610155</v>
      </c>
      <c r="AW194" s="5">
        <f t="shared" si="220"/>
        <v>2395767.1193480645</v>
      </c>
      <c r="AX194" s="199"/>
    </row>
    <row r="195" spans="1:50">
      <c r="A195" s="73"/>
      <c r="B195" s="572"/>
      <c r="C195" s="16">
        <f t="shared" si="262"/>
        <v>15</v>
      </c>
      <c r="D195" s="17">
        <f t="shared" si="258"/>
        <v>10</v>
      </c>
      <c r="E195" s="18">
        <f t="shared" ca="1" si="221"/>
        <v>49796</v>
      </c>
      <c r="F195" s="10">
        <f>IF(Dashboard!$Q$5="Float",F194+Dashboard!$R$5/12,F194)</f>
        <v>0.04</v>
      </c>
      <c r="G195" s="14">
        <f t="shared" si="203"/>
        <v>178</v>
      </c>
      <c r="H195" s="5">
        <f t="shared" si="204"/>
        <v>2449665.0386511153</v>
      </c>
      <c r="I195" s="5">
        <f t="shared" si="191"/>
        <v>-17903.073579954718</v>
      </c>
      <c r="J195" s="5">
        <f t="shared" si="192"/>
        <v>-8165.5501288370506</v>
      </c>
      <c r="K195" s="5">
        <f t="shared" si="205"/>
        <v>-9737.5234511176677</v>
      </c>
      <c r="L195" s="5">
        <f t="shared" si="206"/>
        <v>2439927.5151999975</v>
      </c>
      <c r="M195" s="199"/>
      <c r="N195" s="16">
        <f t="shared" ca="1" si="207"/>
        <v>3</v>
      </c>
      <c r="O195" s="508">
        <f t="shared" ca="1" si="193"/>
        <v>26</v>
      </c>
      <c r="P195" s="16">
        <f t="shared" ca="1" si="194"/>
        <v>3</v>
      </c>
      <c r="Q195" s="17">
        <f t="shared" si="259"/>
        <v>10</v>
      </c>
      <c r="R195" s="18">
        <f t="shared" si="222"/>
        <v>45200</v>
      </c>
      <c r="S195" s="10">
        <f t="shared" si="208"/>
        <v>0.04</v>
      </c>
      <c r="T195" s="14" t="str">
        <f t="shared" ca="1" si="209"/>
        <v>I/O</v>
      </c>
      <c r="U195" s="5">
        <f t="shared" ca="1" si="210"/>
        <v>500000</v>
      </c>
      <c r="V195" s="5">
        <f t="shared" ca="1" si="195"/>
        <v>-1666.6666666666667</v>
      </c>
      <c r="W195" s="5">
        <f t="shared" ca="1" si="196"/>
        <v>-1666.6666666666667</v>
      </c>
      <c r="X195" s="5">
        <f t="shared" ca="1" si="211"/>
        <v>0</v>
      </c>
      <c r="Y195" s="5">
        <f t="shared" ca="1" si="212"/>
        <v>500000</v>
      </c>
      <c r="Z195" s="199"/>
      <c r="AA195" s="16">
        <f t="shared" ca="1" si="200"/>
        <v>15</v>
      </c>
      <c r="AB195" s="508">
        <f t="shared" ca="1" si="197"/>
        <v>177</v>
      </c>
      <c r="AC195" s="16">
        <f t="shared" si="263"/>
        <v>15</v>
      </c>
      <c r="AD195" s="17">
        <f t="shared" si="260"/>
        <v>10</v>
      </c>
      <c r="AE195" s="18">
        <f t="shared" ca="1" si="223"/>
        <v>49796</v>
      </c>
      <c r="AF195" s="10">
        <f>IF(Dashboard!$R$24="Float",AF194+Dashboard!$R$24/12,AF194)</f>
        <v>0.06</v>
      </c>
      <c r="AG195" s="14">
        <f t="shared" si="213"/>
        <v>178</v>
      </c>
      <c r="AH195" s="5">
        <f t="shared" si="214"/>
        <v>0</v>
      </c>
      <c r="AI195" s="5">
        <f t="shared" si="198"/>
        <v>0</v>
      </c>
      <c r="AJ195" s="5">
        <f t="shared" si="199"/>
        <v>0</v>
      </c>
      <c r="AK195" s="5">
        <f t="shared" si="215"/>
        <v>0</v>
      </c>
      <c r="AL195" s="5">
        <f t="shared" si="216"/>
        <v>0</v>
      </c>
      <c r="AM195" s="199"/>
      <c r="AN195" s="16">
        <f t="shared" si="264"/>
        <v>16</v>
      </c>
      <c r="AO195" s="17">
        <f t="shared" si="261"/>
        <v>10</v>
      </c>
      <c r="AP195" s="18">
        <f t="shared" ca="1" si="224"/>
        <v>49796</v>
      </c>
      <c r="AQ195" s="10">
        <f>IF(Dashboard!$S$20="Float",AQ194+Dashboard!$T$20/12,AQ194)</f>
        <v>4.4999999999999998E-2</v>
      </c>
      <c r="AR195" s="14">
        <f t="shared" si="217"/>
        <v>178</v>
      </c>
      <c r="AS195" s="5">
        <f t="shared" si="218"/>
        <v>2395767.1193480645</v>
      </c>
      <c r="AT195" s="5">
        <f t="shared" si="201"/>
        <v>-18117.071455543857</v>
      </c>
      <c r="AU195" s="5">
        <f t="shared" si="202"/>
        <v>-8984.1266975552408</v>
      </c>
      <c r="AV195" s="5">
        <f t="shared" si="219"/>
        <v>-9132.9447579886164</v>
      </c>
      <c r="AW195" s="5">
        <f t="shared" si="220"/>
        <v>2386634.1745900759</v>
      </c>
      <c r="AX195" s="199"/>
    </row>
    <row r="196" spans="1:50">
      <c r="A196" s="73"/>
      <c r="B196" s="572"/>
      <c r="C196" s="16">
        <f t="shared" si="262"/>
        <v>15</v>
      </c>
      <c r="D196" s="17">
        <f t="shared" si="258"/>
        <v>11</v>
      </c>
      <c r="E196" s="18">
        <f t="shared" ca="1" si="221"/>
        <v>49827</v>
      </c>
      <c r="F196" s="10">
        <f>IF(Dashboard!$Q$5="Float",F195+Dashboard!$R$5/12,F195)</f>
        <v>0.04</v>
      </c>
      <c r="G196" s="14">
        <f t="shared" si="203"/>
        <v>179</v>
      </c>
      <c r="H196" s="5">
        <f t="shared" si="204"/>
        <v>2439927.5151999975</v>
      </c>
      <c r="I196" s="5">
        <f t="shared" si="191"/>
        <v>-17903.073579954718</v>
      </c>
      <c r="J196" s="5">
        <f t="shared" si="192"/>
        <v>-8133.0917173333255</v>
      </c>
      <c r="K196" s="5">
        <f t="shared" si="205"/>
        <v>-9769.9818626213928</v>
      </c>
      <c r="L196" s="5">
        <f t="shared" si="206"/>
        <v>2430157.5333373761</v>
      </c>
      <c r="M196" s="199"/>
      <c r="N196" s="16">
        <f t="shared" ca="1" si="207"/>
        <v>3</v>
      </c>
      <c r="O196" s="508">
        <f t="shared" ca="1" si="193"/>
        <v>27</v>
      </c>
      <c r="P196" s="16">
        <f t="shared" ca="1" si="194"/>
        <v>3</v>
      </c>
      <c r="Q196" s="17">
        <f t="shared" si="259"/>
        <v>11</v>
      </c>
      <c r="R196" s="18">
        <f t="shared" si="222"/>
        <v>45231</v>
      </c>
      <c r="S196" s="10">
        <f t="shared" si="208"/>
        <v>0.04</v>
      </c>
      <c r="T196" s="14" t="str">
        <f t="shared" ca="1" si="209"/>
        <v>I/O</v>
      </c>
      <c r="U196" s="5">
        <f t="shared" ca="1" si="210"/>
        <v>500000</v>
      </c>
      <c r="V196" s="5">
        <f t="shared" ca="1" si="195"/>
        <v>-1666.6666666666667</v>
      </c>
      <c r="W196" s="5">
        <f t="shared" ca="1" si="196"/>
        <v>-1666.6666666666667</v>
      </c>
      <c r="X196" s="5">
        <f t="shared" ca="1" si="211"/>
        <v>0</v>
      </c>
      <c r="Y196" s="5">
        <f t="shared" ca="1" si="212"/>
        <v>500000</v>
      </c>
      <c r="Z196" s="199"/>
      <c r="AA196" s="16">
        <f t="shared" ca="1" si="200"/>
        <v>15</v>
      </c>
      <c r="AB196" s="508">
        <f t="shared" ca="1" si="197"/>
        <v>178</v>
      </c>
      <c r="AC196" s="16">
        <f t="shared" si="263"/>
        <v>15</v>
      </c>
      <c r="AD196" s="17">
        <f t="shared" si="260"/>
        <v>11</v>
      </c>
      <c r="AE196" s="18">
        <f t="shared" ca="1" si="223"/>
        <v>49827</v>
      </c>
      <c r="AF196" s="10">
        <f>IF(Dashboard!$R$24="Float",AF195+Dashboard!$R$24/12,AF195)</f>
        <v>0.06</v>
      </c>
      <c r="AG196" s="14">
        <f t="shared" si="213"/>
        <v>179</v>
      </c>
      <c r="AH196" s="5">
        <f t="shared" si="214"/>
        <v>0</v>
      </c>
      <c r="AI196" s="5">
        <f t="shared" si="198"/>
        <v>0</v>
      </c>
      <c r="AJ196" s="5">
        <f t="shared" si="199"/>
        <v>0</v>
      </c>
      <c r="AK196" s="5">
        <f t="shared" si="215"/>
        <v>0</v>
      </c>
      <c r="AL196" s="5">
        <f t="shared" si="216"/>
        <v>0</v>
      </c>
      <c r="AM196" s="199"/>
      <c r="AN196" s="16">
        <f t="shared" si="264"/>
        <v>16</v>
      </c>
      <c r="AO196" s="17">
        <f t="shared" si="261"/>
        <v>11</v>
      </c>
      <c r="AP196" s="18">
        <f t="shared" ca="1" si="224"/>
        <v>49827</v>
      </c>
      <c r="AQ196" s="10">
        <f>IF(Dashboard!$S$20="Float",AQ195+Dashboard!$T$20/12,AQ195)</f>
        <v>4.4999999999999998E-2</v>
      </c>
      <c r="AR196" s="14">
        <f t="shared" si="217"/>
        <v>179</v>
      </c>
      <c r="AS196" s="5">
        <f t="shared" si="218"/>
        <v>2386634.1745900759</v>
      </c>
      <c r="AT196" s="5">
        <f t="shared" si="201"/>
        <v>-18117.071455543857</v>
      </c>
      <c r="AU196" s="5">
        <f t="shared" si="202"/>
        <v>-8949.8781547127837</v>
      </c>
      <c r="AV196" s="5">
        <f t="shared" si="219"/>
        <v>-9167.1933008310734</v>
      </c>
      <c r="AW196" s="5">
        <f t="shared" si="220"/>
        <v>2377466.9812892447</v>
      </c>
      <c r="AX196" s="199"/>
    </row>
    <row r="197" spans="1:50">
      <c r="A197" s="73"/>
      <c r="B197" s="572"/>
      <c r="C197" s="16">
        <f t="shared" si="262"/>
        <v>15</v>
      </c>
      <c r="D197" s="17">
        <f t="shared" si="258"/>
        <v>12</v>
      </c>
      <c r="E197" s="18">
        <f t="shared" ca="1" si="221"/>
        <v>49857</v>
      </c>
      <c r="F197" s="10">
        <f>IF(Dashboard!$Q$5="Float",F196+Dashboard!$R$5/12,F196)</f>
        <v>0.04</v>
      </c>
      <c r="G197" s="14">
        <f t="shared" si="203"/>
        <v>180</v>
      </c>
      <c r="H197" s="5">
        <f t="shared" si="204"/>
        <v>2430157.5333373761</v>
      </c>
      <c r="I197" s="5">
        <f t="shared" si="191"/>
        <v>-17903.073579954715</v>
      </c>
      <c r="J197" s="5">
        <f t="shared" si="192"/>
        <v>-8100.525111124588</v>
      </c>
      <c r="K197" s="5">
        <f t="shared" si="205"/>
        <v>-9802.5484688301258</v>
      </c>
      <c r="L197" s="5">
        <f t="shared" si="206"/>
        <v>2420354.984868546</v>
      </c>
      <c r="M197" s="199"/>
      <c r="N197" s="16">
        <f t="shared" ca="1" si="207"/>
        <v>3</v>
      </c>
      <c r="O197" s="508">
        <f t="shared" ca="1" si="193"/>
        <v>28</v>
      </c>
      <c r="P197" s="16">
        <f t="shared" ca="1" si="194"/>
        <v>3</v>
      </c>
      <c r="Q197" s="17">
        <f t="shared" si="259"/>
        <v>12</v>
      </c>
      <c r="R197" s="18">
        <f t="shared" si="222"/>
        <v>45261</v>
      </c>
      <c r="S197" s="10">
        <f t="shared" si="208"/>
        <v>0.04</v>
      </c>
      <c r="T197" s="14" t="str">
        <f t="shared" ca="1" si="209"/>
        <v>I/O</v>
      </c>
      <c r="U197" s="5">
        <f t="shared" ca="1" si="210"/>
        <v>500000</v>
      </c>
      <c r="V197" s="5">
        <f t="shared" ca="1" si="195"/>
        <v>-1666.6666666666667</v>
      </c>
      <c r="W197" s="5">
        <f t="shared" ca="1" si="196"/>
        <v>-1666.6666666666667</v>
      </c>
      <c r="X197" s="5">
        <f t="shared" ca="1" si="211"/>
        <v>0</v>
      </c>
      <c r="Y197" s="5">
        <f t="shared" ca="1" si="212"/>
        <v>500000</v>
      </c>
      <c r="Z197" s="199"/>
      <c r="AA197" s="16">
        <f t="shared" ca="1" si="200"/>
        <v>15</v>
      </c>
      <c r="AB197" s="508">
        <f t="shared" ca="1" si="197"/>
        <v>179</v>
      </c>
      <c r="AC197" s="16">
        <f t="shared" si="263"/>
        <v>15</v>
      </c>
      <c r="AD197" s="17">
        <f t="shared" si="260"/>
        <v>12</v>
      </c>
      <c r="AE197" s="18">
        <f t="shared" ca="1" si="223"/>
        <v>49857</v>
      </c>
      <c r="AF197" s="10">
        <f>IF(Dashboard!$R$24="Float",AF196+Dashboard!$R$24/12,AF196)</f>
        <v>0.06</v>
      </c>
      <c r="AG197" s="14">
        <f t="shared" si="213"/>
        <v>180</v>
      </c>
      <c r="AH197" s="5">
        <f t="shared" si="214"/>
        <v>0</v>
      </c>
      <c r="AI197" s="5">
        <f t="shared" si="198"/>
        <v>0</v>
      </c>
      <c r="AJ197" s="5">
        <f t="shared" si="199"/>
        <v>0</v>
      </c>
      <c r="AK197" s="5">
        <f t="shared" si="215"/>
        <v>0</v>
      </c>
      <c r="AL197" s="5">
        <f t="shared" si="216"/>
        <v>0</v>
      </c>
      <c r="AM197" s="199"/>
      <c r="AN197" s="16">
        <f t="shared" si="264"/>
        <v>16</v>
      </c>
      <c r="AO197" s="17">
        <f t="shared" si="261"/>
        <v>12</v>
      </c>
      <c r="AP197" s="18">
        <f t="shared" ca="1" si="224"/>
        <v>49857</v>
      </c>
      <c r="AQ197" s="10">
        <f>IF(Dashboard!$S$20="Float",AQ196+Dashboard!$T$20/12,AQ196)</f>
        <v>4.4999999999999998E-2</v>
      </c>
      <c r="AR197" s="14">
        <f t="shared" si="217"/>
        <v>180</v>
      </c>
      <c r="AS197" s="5">
        <f t="shared" si="218"/>
        <v>2377466.9812892447</v>
      </c>
      <c r="AT197" s="5">
        <f t="shared" si="201"/>
        <v>-18117.071455543857</v>
      </c>
      <c r="AU197" s="5">
        <f t="shared" si="202"/>
        <v>-8915.5011798346677</v>
      </c>
      <c r="AV197" s="5">
        <f t="shared" si="219"/>
        <v>-9201.5702757091894</v>
      </c>
      <c r="AW197" s="5">
        <f t="shared" si="220"/>
        <v>2368265.4110135357</v>
      </c>
      <c r="AX197" s="199"/>
    </row>
    <row r="198" spans="1:50" ht="12.75" customHeight="1">
      <c r="A198" s="73"/>
      <c r="B198" s="570">
        <f>+C198</f>
        <v>16</v>
      </c>
      <c r="C198" s="200">
        <f t="shared" ref="C198" si="265">+C197+1</f>
        <v>16</v>
      </c>
      <c r="D198" s="201">
        <v>1</v>
      </c>
      <c r="E198" s="202">
        <f t="shared" ca="1" si="221"/>
        <v>49888</v>
      </c>
      <c r="F198" s="203">
        <f>IF(Dashboard!$Q$5="Float",F197+Dashboard!$R$5/12,F197)</f>
        <v>0.04</v>
      </c>
      <c r="G198" s="204">
        <f t="shared" si="203"/>
        <v>181</v>
      </c>
      <c r="H198" s="205">
        <f t="shared" si="204"/>
        <v>2420354.984868546</v>
      </c>
      <c r="I198" s="205">
        <f t="shared" si="191"/>
        <v>-17903.073579954715</v>
      </c>
      <c r="J198" s="205">
        <f t="shared" si="192"/>
        <v>-8067.8499495618198</v>
      </c>
      <c r="K198" s="205">
        <f t="shared" si="205"/>
        <v>-9835.2236303928948</v>
      </c>
      <c r="L198" s="205">
        <f t="shared" si="206"/>
        <v>2410519.7612381531</v>
      </c>
      <c r="M198" s="199"/>
      <c r="N198" s="200">
        <f t="shared" ca="1" si="207"/>
        <v>3</v>
      </c>
      <c r="O198" s="509">
        <f t="shared" ca="1" si="193"/>
        <v>29</v>
      </c>
      <c r="P198" s="200">
        <f t="shared" ca="1" si="194"/>
        <v>3</v>
      </c>
      <c r="Q198" s="201">
        <v>1</v>
      </c>
      <c r="R198" s="202">
        <f t="shared" si="222"/>
        <v>45292</v>
      </c>
      <c r="S198" s="203">
        <f t="shared" si="208"/>
        <v>0.04</v>
      </c>
      <c r="T198" s="204" t="str">
        <f t="shared" ca="1" si="209"/>
        <v>I/O</v>
      </c>
      <c r="U198" s="205">
        <f t="shared" ca="1" si="210"/>
        <v>500000</v>
      </c>
      <c r="V198" s="205">
        <f t="shared" ca="1" si="195"/>
        <v>-1666.6666666666667</v>
      </c>
      <c r="W198" s="205">
        <f t="shared" ca="1" si="196"/>
        <v>-1666.6666666666667</v>
      </c>
      <c r="X198" s="205">
        <f t="shared" ca="1" si="211"/>
        <v>0</v>
      </c>
      <c r="Y198" s="205">
        <f t="shared" ca="1" si="212"/>
        <v>500000</v>
      </c>
      <c r="Z198" s="199"/>
      <c r="AA198" s="200">
        <f t="shared" ca="1" si="200"/>
        <v>15</v>
      </c>
      <c r="AB198" s="509">
        <f t="shared" ca="1" si="197"/>
        <v>180</v>
      </c>
      <c r="AC198" s="200">
        <f t="shared" ref="AC198" si="266">+AC197+1</f>
        <v>16</v>
      </c>
      <c r="AD198" s="201">
        <v>1</v>
      </c>
      <c r="AE198" s="202">
        <f t="shared" ca="1" si="223"/>
        <v>49888</v>
      </c>
      <c r="AF198" s="203">
        <f>IF(Dashboard!$R$24="Float",AF197+Dashboard!$R$24/12,AF197)</f>
        <v>0.06</v>
      </c>
      <c r="AG198" s="204">
        <f t="shared" si="213"/>
        <v>181</v>
      </c>
      <c r="AH198" s="205">
        <f t="shared" si="214"/>
        <v>0</v>
      </c>
      <c r="AI198" s="205">
        <f t="shared" si="198"/>
        <v>0</v>
      </c>
      <c r="AJ198" s="205">
        <f t="shared" si="199"/>
        <v>0</v>
      </c>
      <c r="AK198" s="205">
        <f t="shared" si="215"/>
        <v>0</v>
      </c>
      <c r="AL198" s="205">
        <f t="shared" si="216"/>
        <v>0</v>
      </c>
      <c r="AM198" s="199"/>
      <c r="AN198" s="200">
        <f t="shared" ref="AN198" si="267">+AN197+1</f>
        <v>17</v>
      </c>
      <c r="AO198" s="201">
        <v>1</v>
      </c>
      <c r="AP198" s="202">
        <f t="shared" ca="1" si="224"/>
        <v>49888</v>
      </c>
      <c r="AQ198" s="203">
        <f>IF(Dashboard!$S$20="Float",AQ197+Dashboard!$T$20/12,AQ197)</f>
        <v>4.4999999999999998E-2</v>
      </c>
      <c r="AR198" s="204">
        <f t="shared" si="217"/>
        <v>181</v>
      </c>
      <c r="AS198" s="205">
        <f t="shared" si="218"/>
        <v>2368265.4110135357</v>
      </c>
      <c r="AT198" s="205">
        <f t="shared" si="201"/>
        <v>-18117.071455543857</v>
      </c>
      <c r="AU198" s="205">
        <f t="shared" si="202"/>
        <v>-8880.9952913007583</v>
      </c>
      <c r="AV198" s="205">
        <f t="shared" si="219"/>
        <v>-9236.0761642430989</v>
      </c>
      <c r="AW198" s="205">
        <f t="shared" si="220"/>
        <v>2359029.3348492924</v>
      </c>
      <c r="AX198" s="199"/>
    </row>
    <row r="199" spans="1:50">
      <c r="A199" s="73"/>
      <c r="B199" s="570"/>
      <c r="C199" s="200">
        <f>+C198</f>
        <v>16</v>
      </c>
      <c r="D199" s="201">
        <f>+D198+1</f>
        <v>2</v>
      </c>
      <c r="E199" s="202">
        <f t="shared" ca="1" si="221"/>
        <v>49919</v>
      </c>
      <c r="F199" s="203">
        <f>IF(Dashboard!$Q$5="Float",F198+Dashboard!$R$5/12,F198)</f>
        <v>0.04</v>
      </c>
      <c r="G199" s="204">
        <f t="shared" si="203"/>
        <v>182</v>
      </c>
      <c r="H199" s="205">
        <f t="shared" si="204"/>
        <v>2410519.7612381531</v>
      </c>
      <c r="I199" s="205">
        <f t="shared" si="191"/>
        <v>-17903.073579954718</v>
      </c>
      <c r="J199" s="205">
        <f t="shared" si="192"/>
        <v>-8035.0658707938446</v>
      </c>
      <c r="K199" s="205">
        <f t="shared" si="205"/>
        <v>-9868.0077091608728</v>
      </c>
      <c r="L199" s="205">
        <f t="shared" si="206"/>
        <v>2400651.7535289922</v>
      </c>
      <c r="M199" s="199"/>
      <c r="N199" s="200">
        <f t="shared" ca="1" si="207"/>
        <v>3</v>
      </c>
      <c r="O199" s="509">
        <f t="shared" ca="1" si="193"/>
        <v>30</v>
      </c>
      <c r="P199" s="200">
        <f t="shared" ca="1" si="194"/>
        <v>3</v>
      </c>
      <c r="Q199" s="201">
        <f>+Q198+1</f>
        <v>2</v>
      </c>
      <c r="R199" s="202">
        <f t="shared" si="222"/>
        <v>45323</v>
      </c>
      <c r="S199" s="203">
        <f t="shared" si="208"/>
        <v>0.04</v>
      </c>
      <c r="T199" s="204" t="str">
        <f t="shared" ca="1" si="209"/>
        <v>I/O</v>
      </c>
      <c r="U199" s="205">
        <f t="shared" ca="1" si="210"/>
        <v>500000</v>
      </c>
      <c r="V199" s="205">
        <f t="shared" ca="1" si="195"/>
        <v>-1666.6666666666667</v>
      </c>
      <c r="W199" s="205">
        <f t="shared" ca="1" si="196"/>
        <v>-1666.6666666666667</v>
      </c>
      <c r="X199" s="205">
        <f t="shared" ca="1" si="211"/>
        <v>0</v>
      </c>
      <c r="Y199" s="205">
        <f t="shared" ca="1" si="212"/>
        <v>500000</v>
      </c>
      <c r="Z199" s="199"/>
      <c r="AA199" s="200">
        <f t="shared" ca="1" si="200"/>
        <v>16</v>
      </c>
      <c r="AB199" s="509">
        <f t="shared" ca="1" si="197"/>
        <v>181</v>
      </c>
      <c r="AC199" s="200">
        <f>+AC198</f>
        <v>16</v>
      </c>
      <c r="AD199" s="201">
        <f>+AD198+1</f>
        <v>2</v>
      </c>
      <c r="AE199" s="202">
        <f t="shared" ca="1" si="223"/>
        <v>49919</v>
      </c>
      <c r="AF199" s="203">
        <f>IF(Dashboard!$R$24="Float",AF198+Dashboard!$R$24/12,AF198)</f>
        <v>0.06</v>
      </c>
      <c r="AG199" s="204">
        <f t="shared" si="213"/>
        <v>182</v>
      </c>
      <c r="AH199" s="205">
        <f t="shared" si="214"/>
        <v>0</v>
      </c>
      <c r="AI199" s="205">
        <f t="shared" si="198"/>
        <v>0</v>
      </c>
      <c r="AJ199" s="205">
        <f t="shared" si="199"/>
        <v>0</v>
      </c>
      <c r="AK199" s="205">
        <f t="shared" si="215"/>
        <v>0</v>
      </c>
      <c r="AL199" s="205">
        <f t="shared" si="216"/>
        <v>0</v>
      </c>
      <c r="AM199" s="199"/>
      <c r="AN199" s="200">
        <f>+AN198</f>
        <v>17</v>
      </c>
      <c r="AO199" s="201">
        <f>+AO198+1</f>
        <v>2</v>
      </c>
      <c r="AP199" s="202">
        <f t="shared" ca="1" si="224"/>
        <v>49919</v>
      </c>
      <c r="AQ199" s="203">
        <f>IF(Dashboard!$S$20="Float",AQ198+Dashboard!$T$20/12,AQ198)</f>
        <v>4.4999999999999998E-2</v>
      </c>
      <c r="AR199" s="204">
        <f t="shared" si="217"/>
        <v>182</v>
      </c>
      <c r="AS199" s="205">
        <f t="shared" si="218"/>
        <v>2359029.3348492924</v>
      </c>
      <c r="AT199" s="205">
        <f t="shared" si="201"/>
        <v>-18117.071455543857</v>
      </c>
      <c r="AU199" s="205">
        <f t="shared" si="202"/>
        <v>-8846.3600056848463</v>
      </c>
      <c r="AV199" s="205">
        <f t="shared" si="219"/>
        <v>-9270.7114498590108</v>
      </c>
      <c r="AW199" s="205">
        <f t="shared" si="220"/>
        <v>2349758.6233994332</v>
      </c>
      <c r="AX199" s="199"/>
    </row>
    <row r="200" spans="1:50">
      <c r="A200" s="73"/>
      <c r="B200" s="570"/>
      <c r="C200" s="200">
        <f>+C199</f>
        <v>16</v>
      </c>
      <c r="D200" s="201">
        <f>+D199+1</f>
        <v>3</v>
      </c>
      <c r="E200" s="202">
        <f t="shared" ca="1" si="221"/>
        <v>49949</v>
      </c>
      <c r="F200" s="203">
        <f>IF(Dashboard!$Q$5="Float",F199+Dashboard!$R$5/12,F199)</f>
        <v>0.04</v>
      </c>
      <c r="G200" s="204">
        <f t="shared" si="203"/>
        <v>183</v>
      </c>
      <c r="H200" s="205">
        <f t="shared" si="204"/>
        <v>2400651.7535289922</v>
      </c>
      <c r="I200" s="205">
        <f t="shared" si="191"/>
        <v>-17903.073579954718</v>
      </c>
      <c r="J200" s="205">
        <f t="shared" si="192"/>
        <v>-8002.1725117633068</v>
      </c>
      <c r="K200" s="205">
        <f t="shared" si="205"/>
        <v>-9900.9010681914115</v>
      </c>
      <c r="L200" s="205">
        <f t="shared" si="206"/>
        <v>2390750.8524608007</v>
      </c>
      <c r="M200" s="199"/>
      <c r="N200" s="200">
        <f t="shared" ca="1" si="207"/>
        <v>3</v>
      </c>
      <c r="O200" s="509">
        <f t="shared" ca="1" si="193"/>
        <v>31</v>
      </c>
      <c r="P200" s="200">
        <f t="shared" ca="1" si="194"/>
        <v>3</v>
      </c>
      <c r="Q200" s="201">
        <f>+Q199+1</f>
        <v>3</v>
      </c>
      <c r="R200" s="202">
        <f t="shared" si="222"/>
        <v>45352</v>
      </c>
      <c r="S200" s="203">
        <f t="shared" si="208"/>
        <v>0.04</v>
      </c>
      <c r="T200" s="204" t="str">
        <f t="shared" ca="1" si="209"/>
        <v>I/O</v>
      </c>
      <c r="U200" s="205">
        <f t="shared" ca="1" si="210"/>
        <v>500000</v>
      </c>
      <c r="V200" s="205">
        <f t="shared" ca="1" si="195"/>
        <v>-1666.6666666666667</v>
      </c>
      <c r="W200" s="205">
        <f t="shared" ca="1" si="196"/>
        <v>-1666.6666666666667</v>
      </c>
      <c r="X200" s="205">
        <f t="shared" ca="1" si="211"/>
        <v>0</v>
      </c>
      <c r="Y200" s="205">
        <f t="shared" ca="1" si="212"/>
        <v>500000</v>
      </c>
      <c r="Z200" s="199"/>
      <c r="AA200" s="200">
        <f t="shared" ca="1" si="200"/>
        <v>16</v>
      </c>
      <c r="AB200" s="509">
        <f t="shared" ca="1" si="197"/>
        <v>182</v>
      </c>
      <c r="AC200" s="200">
        <f>+AC199</f>
        <v>16</v>
      </c>
      <c r="AD200" s="201">
        <f>+AD199+1</f>
        <v>3</v>
      </c>
      <c r="AE200" s="202">
        <f t="shared" ca="1" si="223"/>
        <v>49949</v>
      </c>
      <c r="AF200" s="203">
        <f>IF(Dashboard!$R$24="Float",AF199+Dashboard!$R$24/12,AF199)</f>
        <v>0.06</v>
      </c>
      <c r="AG200" s="204">
        <f t="shared" si="213"/>
        <v>183</v>
      </c>
      <c r="AH200" s="205">
        <f t="shared" si="214"/>
        <v>0</v>
      </c>
      <c r="AI200" s="205">
        <f t="shared" si="198"/>
        <v>0</v>
      </c>
      <c r="AJ200" s="205">
        <f t="shared" si="199"/>
        <v>0</v>
      </c>
      <c r="AK200" s="205">
        <f t="shared" si="215"/>
        <v>0</v>
      </c>
      <c r="AL200" s="205">
        <f t="shared" si="216"/>
        <v>0</v>
      </c>
      <c r="AM200" s="199"/>
      <c r="AN200" s="200">
        <f>+AN199</f>
        <v>17</v>
      </c>
      <c r="AO200" s="201">
        <f>+AO199+1</f>
        <v>3</v>
      </c>
      <c r="AP200" s="202">
        <f t="shared" ca="1" si="224"/>
        <v>49949</v>
      </c>
      <c r="AQ200" s="203">
        <f>IF(Dashboard!$S$20="Float",AQ199+Dashboard!$T$20/12,AQ199)</f>
        <v>4.4999999999999998E-2</v>
      </c>
      <c r="AR200" s="204">
        <f t="shared" si="217"/>
        <v>183</v>
      </c>
      <c r="AS200" s="205">
        <f t="shared" si="218"/>
        <v>2349758.6233994332</v>
      </c>
      <c r="AT200" s="205">
        <f t="shared" si="201"/>
        <v>-18117.071455543854</v>
      </c>
      <c r="AU200" s="205">
        <f t="shared" si="202"/>
        <v>-8811.5948377478744</v>
      </c>
      <c r="AV200" s="205">
        <f t="shared" si="219"/>
        <v>-9305.4766177959791</v>
      </c>
      <c r="AW200" s="205">
        <f t="shared" si="220"/>
        <v>2340453.1467816373</v>
      </c>
      <c r="AX200" s="199"/>
    </row>
    <row r="201" spans="1:50">
      <c r="A201" s="73"/>
      <c r="B201" s="570"/>
      <c r="C201" s="200">
        <f>+C200</f>
        <v>16</v>
      </c>
      <c r="D201" s="201">
        <f t="shared" ref="D201:D209" si="268">+D200+1</f>
        <v>4</v>
      </c>
      <c r="E201" s="202">
        <f t="shared" ca="1" si="221"/>
        <v>49980</v>
      </c>
      <c r="F201" s="203">
        <f>IF(Dashboard!$Q$5="Float",F200+Dashboard!$R$5/12,F200)</f>
        <v>0.04</v>
      </c>
      <c r="G201" s="204">
        <f t="shared" si="203"/>
        <v>184</v>
      </c>
      <c r="H201" s="205">
        <f t="shared" si="204"/>
        <v>2390750.8524608007</v>
      </c>
      <c r="I201" s="205">
        <f t="shared" si="191"/>
        <v>-17903.073579954715</v>
      </c>
      <c r="J201" s="205">
        <f t="shared" si="192"/>
        <v>-7969.1695082026699</v>
      </c>
      <c r="K201" s="205">
        <f t="shared" si="205"/>
        <v>-9933.9040717520438</v>
      </c>
      <c r="L201" s="205">
        <f t="shared" si="206"/>
        <v>2380816.9483890487</v>
      </c>
      <c r="M201" s="199"/>
      <c r="N201" s="200">
        <f t="shared" ca="1" si="207"/>
        <v>3</v>
      </c>
      <c r="O201" s="509">
        <f t="shared" ca="1" si="193"/>
        <v>32</v>
      </c>
      <c r="P201" s="200">
        <f t="shared" ca="1" si="194"/>
        <v>3</v>
      </c>
      <c r="Q201" s="201">
        <f t="shared" ref="Q201:Q209" si="269">+Q200+1</f>
        <v>4</v>
      </c>
      <c r="R201" s="202">
        <f t="shared" si="222"/>
        <v>45383</v>
      </c>
      <c r="S201" s="203">
        <f t="shared" si="208"/>
        <v>0.04</v>
      </c>
      <c r="T201" s="204" t="str">
        <f t="shared" ca="1" si="209"/>
        <v>I/O</v>
      </c>
      <c r="U201" s="205">
        <f t="shared" ca="1" si="210"/>
        <v>500000</v>
      </c>
      <c r="V201" s="205">
        <f t="shared" ca="1" si="195"/>
        <v>-1666.6666666666667</v>
      </c>
      <c r="W201" s="205">
        <f t="shared" ca="1" si="196"/>
        <v>-1666.6666666666667</v>
      </c>
      <c r="X201" s="205">
        <f t="shared" ca="1" si="211"/>
        <v>0</v>
      </c>
      <c r="Y201" s="205">
        <f t="shared" ca="1" si="212"/>
        <v>500000</v>
      </c>
      <c r="Z201" s="199"/>
      <c r="AA201" s="200">
        <f t="shared" ca="1" si="200"/>
        <v>16</v>
      </c>
      <c r="AB201" s="509">
        <f t="shared" ca="1" si="197"/>
        <v>183</v>
      </c>
      <c r="AC201" s="200">
        <f>+AC200</f>
        <v>16</v>
      </c>
      <c r="AD201" s="201">
        <f t="shared" ref="AD201:AD209" si="270">+AD200+1</f>
        <v>4</v>
      </c>
      <c r="AE201" s="202">
        <f t="shared" ca="1" si="223"/>
        <v>49980</v>
      </c>
      <c r="AF201" s="203">
        <f>IF(Dashboard!$R$24="Float",AF200+Dashboard!$R$24/12,AF200)</f>
        <v>0.06</v>
      </c>
      <c r="AG201" s="204">
        <f t="shared" si="213"/>
        <v>184</v>
      </c>
      <c r="AH201" s="205">
        <f t="shared" si="214"/>
        <v>0</v>
      </c>
      <c r="AI201" s="205">
        <f t="shared" si="198"/>
        <v>0</v>
      </c>
      <c r="AJ201" s="205">
        <f t="shared" si="199"/>
        <v>0</v>
      </c>
      <c r="AK201" s="205">
        <f t="shared" si="215"/>
        <v>0</v>
      </c>
      <c r="AL201" s="205">
        <f t="shared" si="216"/>
        <v>0</v>
      </c>
      <c r="AM201" s="199"/>
      <c r="AN201" s="200">
        <f>+AN200</f>
        <v>17</v>
      </c>
      <c r="AO201" s="201">
        <f t="shared" ref="AO201:AO209" si="271">+AO200+1</f>
        <v>4</v>
      </c>
      <c r="AP201" s="202">
        <f t="shared" ca="1" si="224"/>
        <v>49980</v>
      </c>
      <c r="AQ201" s="203">
        <f>IF(Dashboard!$S$20="Float",AQ200+Dashboard!$T$20/12,AQ200)</f>
        <v>4.4999999999999998E-2</v>
      </c>
      <c r="AR201" s="204">
        <f t="shared" si="217"/>
        <v>184</v>
      </c>
      <c r="AS201" s="205">
        <f t="shared" si="218"/>
        <v>2340453.1467816373</v>
      </c>
      <c r="AT201" s="205">
        <f t="shared" si="201"/>
        <v>-18117.071455543857</v>
      </c>
      <c r="AU201" s="205">
        <f t="shared" si="202"/>
        <v>-8776.6993004311389</v>
      </c>
      <c r="AV201" s="205">
        <f t="shared" si="219"/>
        <v>-9340.3721551127182</v>
      </c>
      <c r="AW201" s="205">
        <f t="shared" si="220"/>
        <v>2331112.7746265247</v>
      </c>
      <c r="AX201" s="199"/>
    </row>
    <row r="202" spans="1:50">
      <c r="A202" s="73"/>
      <c r="B202" s="570"/>
      <c r="C202" s="200">
        <f t="shared" ref="C202:C209" si="272">+C201</f>
        <v>16</v>
      </c>
      <c r="D202" s="201">
        <f t="shared" si="268"/>
        <v>5</v>
      </c>
      <c r="E202" s="202">
        <f t="shared" ca="1" si="221"/>
        <v>50010</v>
      </c>
      <c r="F202" s="203">
        <f>IF(Dashboard!$Q$5="Float",F201+Dashboard!$R$5/12,F201)</f>
        <v>0.04</v>
      </c>
      <c r="G202" s="204">
        <f t="shared" si="203"/>
        <v>185</v>
      </c>
      <c r="H202" s="205">
        <f t="shared" si="204"/>
        <v>2380816.9483890487</v>
      </c>
      <c r="I202" s="205">
        <f t="shared" si="191"/>
        <v>-17903.073579954718</v>
      </c>
      <c r="J202" s="205">
        <f t="shared" si="192"/>
        <v>-7936.0564946301629</v>
      </c>
      <c r="K202" s="205">
        <f t="shared" si="205"/>
        <v>-9967.0170853245545</v>
      </c>
      <c r="L202" s="205">
        <f t="shared" si="206"/>
        <v>2370849.9313037242</v>
      </c>
      <c r="M202" s="199"/>
      <c r="N202" s="200">
        <f t="shared" ca="1" si="207"/>
        <v>3</v>
      </c>
      <c r="O202" s="509">
        <f t="shared" ca="1" si="193"/>
        <v>33</v>
      </c>
      <c r="P202" s="200">
        <f t="shared" ca="1" si="194"/>
        <v>3</v>
      </c>
      <c r="Q202" s="201">
        <f t="shared" si="269"/>
        <v>5</v>
      </c>
      <c r="R202" s="202">
        <f t="shared" si="222"/>
        <v>45413</v>
      </c>
      <c r="S202" s="203">
        <f t="shared" si="208"/>
        <v>0.04</v>
      </c>
      <c r="T202" s="204" t="str">
        <f t="shared" ca="1" si="209"/>
        <v>I/O</v>
      </c>
      <c r="U202" s="205">
        <f t="shared" ca="1" si="210"/>
        <v>500000</v>
      </c>
      <c r="V202" s="205">
        <f t="shared" ca="1" si="195"/>
        <v>-1666.6666666666667</v>
      </c>
      <c r="W202" s="205">
        <f t="shared" ca="1" si="196"/>
        <v>-1666.6666666666667</v>
      </c>
      <c r="X202" s="205">
        <f t="shared" ca="1" si="211"/>
        <v>0</v>
      </c>
      <c r="Y202" s="205">
        <f t="shared" ca="1" si="212"/>
        <v>500000</v>
      </c>
      <c r="Z202" s="199"/>
      <c r="AA202" s="200">
        <f t="shared" ca="1" si="200"/>
        <v>16</v>
      </c>
      <c r="AB202" s="509">
        <f t="shared" ca="1" si="197"/>
        <v>184</v>
      </c>
      <c r="AC202" s="200">
        <f t="shared" ref="AC202:AC209" si="273">+AC201</f>
        <v>16</v>
      </c>
      <c r="AD202" s="201">
        <f t="shared" si="270"/>
        <v>5</v>
      </c>
      <c r="AE202" s="202">
        <f t="shared" ca="1" si="223"/>
        <v>50010</v>
      </c>
      <c r="AF202" s="203">
        <f>IF(Dashboard!$R$24="Float",AF201+Dashboard!$R$24/12,AF201)</f>
        <v>0.06</v>
      </c>
      <c r="AG202" s="204">
        <f t="shared" si="213"/>
        <v>185</v>
      </c>
      <c r="AH202" s="205">
        <f t="shared" si="214"/>
        <v>0</v>
      </c>
      <c r="AI202" s="205">
        <f t="shared" si="198"/>
        <v>0</v>
      </c>
      <c r="AJ202" s="205">
        <f t="shared" si="199"/>
        <v>0</v>
      </c>
      <c r="AK202" s="205">
        <f t="shared" si="215"/>
        <v>0</v>
      </c>
      <c r="AL202" s="205">
        <f t="shared" si="216"/>
        <v>0</v>
      </c>
      <c r="AM202" s="199"/>
      <c r="AN202" s="200">
        <f t="shared" ref="AN202:AN209" si="274">+AN201</f>
        <v>17</v>
      </c>
      <c r="AO202" s="201">
        <f t="shared" si="271"/>
        <v>5</v>
      </c>
      <c r="AP202" s="202">
        <f t="shared" ca="1" si="224"/>
        <v>50010</v>
      </c>
      <c r="AQ202" s="203">
        <f>IF(Dashboard!$S$20="Float",AQ201+Dashboard!$T$20/12,AQ201)</f>
        <v>4.4999999999999998E-2</v>
      </c>
      <c r="AR202" s="204">
        <f t="shared" si="217"/>
        <v>185</v>
      </c>
      <c r="AS202" s="205">
        <f t="shared" si="218"/>
        <v>2331112.7746265247</v>
      </c>
      <c r="AT202" s="205">
        <f t="shared" si="201"/>
        <v>-18117.071455543854</v>
      </c>
      <c r="AU202" s="205">
        <f t="shared" si="202"/>
        <v>-8741.6729048494672</v>
      </c>
      <c r="AV202" s="205">
        <f t="shared" si="219"/>
        <v>-9375.3985506943864</v>
      </c>
      <c r="AW202" s="205">
        <f t="shared" si="220"/>
        <v>2321737.3760758303</v>
      </c>
      <c r="AX202" s="199"/>
    </row>
    <row r="203" spans="1:50">
      <c r="A203" s="73"/>
      <c r="B203" s="570"/>
      <c r="C203" s="200">
        <f t="shared" si="272"/>
        <v>16</v>
      </c>
      <c r="D203" s="201">
        <f t="shared" si="268"/>
        <v>6</v>
      </c>
      <c r="E203" s="202">
        <f t="shared" ca="1" si="221"/>
        <v>50041</v>
      </c>
      <c r="F203" s="203">
        <f>IF(Dashboard!$Q$5="Float",F202+Dashboard!$R$5/12,F202)</f>
        <v>0.04</v>
      </c>
      <c r="G203" s="204">
        <f t="shared" si="203"/>
        <v>186</v>
      </c>
      <c r="H203" s="205">
        <f t="shared" si="204"/>
        <v>2370849.9313037242</v>
      </c>
      <c r="I203" s="205">
        <f t="shared" si="191"/>
        <v>-17903.073579954715</v>
      </c>
      <c r="J203" s="205">
        <f t="shared" si="192"/>
        <v>-7902.8331043457474</v>
      </c>
      <c r="K203" s="205">
        <f t="shared" si="205"/>
        <v>-10000.240475608967</v>
      </c>
      <c r="L203" s="205">
        <f t="shared" si="206"/>
        <v>2360849.6908281152</v>
      </c>
      <c r="M203" s="199"/>
      <c r="N203" s="200">
        <f t="shared" ca="1" si="207"/>
        <v>3</v>
      </c>
      <c r="O203" s="509">
        <f t="shared" ca="1" si="193"/>
        <v>34</v>
      </c>
      <c r="P203" s="200">
        <f t="shared" ca="1" si="194"/>
        <v>3</v>
      </c>
      <c r="Q203" s="201">
        <f t="shared" si="269"/>
        <v>6</v>
      </c>
      <c r="R203" s="202">
        <f t="shared" si="222"/>
        <v>45444</v>
      </c>
      <c r="S203" s="203">
        <f t="shared" si="208"/>
        <v>0.04</v>
      </c>
      <c r="T203" s="204" t="str">
        <f t="shared" ca="1" si="209"/>
        <v>I/O</v>
      </c>
      <c r="U203" s="205">
        <f t="shared" ca="1" si="210"/>
        <v>500000</v>
      </c>
      <c r="V203" s="205">
        <f t="shared" ca="1" si="195"/>
        <v>-1666.6666666666667</v>
      </c>
      <c r="W203" s="205">
        <f t="shared" ca="1" si="196"/>
        <v>-1666.6666666666667</v>
      </c>
      <c r="X203" s="205">
        <f t="shared" ca="1" si="211"/>
        <v>0</v>
      </c>
      <c r="Y203" s="205">
        <f t="shared" ca="1" si="212"/>
        <v>500000</v>
      </c>
      <c r="Z203" s="199"/>
      <c r="AA203" s="200">
        <f t="shared" ca="1" si="200"/>
        <v>16</v>
      </c>
      <c r="AB203" s="509">
        <f t="shared" ca="1" si="197"/>
        <v>185</v>
      </c>
      <c r="AC203" s="200">
        <f t="shared" si="273"/>
        <v>16</v>
      </c>
      <c r="AD203" s="201">
        <f t="shared" si="270"/>
        <v>6</v>
      </c>
      <c r="AE203" s="202">
        <f t="shared" ca="1" si="223"/>
        <v>50041</v>
      </c>
      <c r="AF203" s="203">
        <f>IF(Dashboard!$R$24="Float",AF202+Dashboard!$R$24/12,AF202)</f>
        <v>0.06</v>
      </c>
      <c r="AG203" s="204">
        <f t="shared" si="213"/>
        <v>186</v>
      </c>
      <c r="AH203" s="205">
        <f t="shared" si="214"/>
        <v>0</v>
      </c>
      <c r="AI203" s="205">
        <f t="shared" si="198"/>
        <v>0</v>
      </c>
      <c r="AJ203" s="205">
        <f t="shared" si="199"/>
        <v>0</v>
      </c>
      <c r="AK203" s="205">
        <f t="shared" si="215"/>
        <v>0</v>
      </c>
      <c r="AL203" s="205">
        <f t="shared" si="216"/>
        <v>0</v>
      </c>
      <c r="AM203" s="199"/>
      <c r="AN203" s="200">
        <f t="shared" si="274"/>
        <v>17</v>
      </c>
      <c r="AO203" s="201">
        <f t="shared" si="271"/>
        <v>6</v>
      </c>
      <c r="AP203" s="202">
        <f t="shared" ca="1" si="224"/>
        <v>50041</v>
      </c>
      <c r="AQ203" s="203">
        <f>IF(Dashboard!$S$20="Float",AQ202+Dashboard!$T$20/12,AQ202)</f>
        <v>4.4999999999999998E-2</v>
      </c>
      <c r="AR203" s="204">
        <f t="shared" si="217"/>
        <v>186</v>
      </c>
      <c r="AS203" s="205">
        <f t="shared" si="218"/>
        <v>2321737.3760758303</v>
      </c>
      <c r="AT203" s="205">
        <f t="shared" si="201"/>
        <v>-18117.071455543854</v>
      </c>
      <c r="AU203" s="205">
        <f t="shared" si="202"/>
        <v>-8706.5151602843634</v>
      </c>
      <c r="AV203" s="205">
        <f t="shared" si="219"/>
        <v>-9410.5562952594901</v>
      </c>
      <c r="AW203" s="205">
        <f t="shared" si="220"/>
        <v>2312326.8197805709</v>
      </c>
      <c r="AX203" s="199"/>
    </row>
    <row r="204" spans="1:50">
      <c r="A204" s="73"/>
      <c r="B204" s="570"/>
      <c r="C204" s="200">
        <f t="shared" si="272"/>
        <v>16</v>
      </c>
      <c r="D204" s="201">
        <f t="shared" si="268"/>
        <v>7</v>
      </c>
      <c r="E204" s="202">
        <f t="shared" ca="1" si="221"/>
        <v>50072</v>
      </c>
      <c r="F204" s="203">
        <f>IF(Dashboard!$Q$5="Float",F203+Dashboard!$R$5/12,F203)</f>
        <v>0.04</v>
      </c>
      <c r="G204" s="204">
        <f t="shared" si="203"/>
        <v>187</v>
      </c>
      <c r="H204" s="205">
        <f t="shared" si="204"/>
        <v>2360849.6908281152</v>
      </c>
      <c r="I204" s="205">
        <f t="shared" si="191"/>
        <v>-17903.073579954715</v>
      </c>
      <c r="J204" s="205">
        <f t="shared" si="192"/>
        <v>-7869.4989694270507</v>
      </c>
      <c r="K204" s="205">
        <f t="shared" si="205"/>
        <v>-10033.574610527663</v>
      </c>
      <c r="L204" s="205">
        <f t="shared" si="206"/>
        <v>2350816.1162175876</v>
      </c>
      <c r="M204" s="199"/>
      <c r="N204" s="200">
        <f t="shared" ca="1" si="207"/>
        <v>3</v>
      </c>
      <c r="O204" s="509">
        <f t="shared" ca="1" si="193"/>
        <v>35</v>
      </c>
      <c r="P204" s="200">
        <f t="shared" ca="1" si="194"/>
        <v>3</v>
      </c>
      <c r="Q204" s="201">
        <f t="shared" si="269"/>
        <v>7</v>
      </c>
      <c r="R204" s="202">
        <f t="shared" si="222"/>
        <v>45474</v>
      </c>
      <c r="S204" s="203">
        <f t="shared" si="208"/>
        <v>0.04</v>
      </c>
      <c r="T204" s="204" t="str">
        <f t="shared" ca="1" si="209"/>
        <v>I/O</v>
      </c>
      <c r="U204" s="205">
        <f t="shared" ca="1" si="210"/>
        <v>500000</v>
      </c>
      <c r="V204" s="205">
        <f t="shared" ca="1" si="195"/>
        <v>-1666.6666666666667</v>
      </c>
      <c r="W204" s="205">
        <f t="shared" ca="1" si="196"/>
        <v>-1666.6666666666667</v>
      </c>
      <c r="X204" s="205">
        <f t="shared" ca="1" si="211"/>
        <v>0</v>
      </c>
      <c r="Y204" s="205">
        <f t="shared" ca="1" si="212"/>
        <v>500000</v>
      </c>
      <c r="Z204" s="199"/>
      <c r="AA204" s="200">
        <f t="shared" ca="1" si="200"/>
        <v>16</v>
      </c>
      <c r="AB204" s="509">
        <f t="shared" ca="1" si="197"/>
        <v>186</v>
      </c>
      <c r="AC204" s="200">
        <f t="shared" si="273"/>
        <v>16</v>
      </c>
      <c r="AD204" s="201">
        <f t="shared" si="270"/>
        <v>7</v>
      </c>
      <c r="AE204" s="202">
        <f t="shared" ca="1" si="223"/>
        <v>50072</v>
      </c>
      <c r="AF204" s="203">
        <f>IF(Dashboard!$R$24="Float",AF203+Dashboard!$R$24/12,AF203)</f>
        <v>0.06</v>
      </c>
      <c r="AG204" s="204">
        <f t="shared" si="213"/>
        <v>187</v>
      </c>
      <c r="AH204" s="205">
        <f t="shared" si="214"/>
        <v>0</v>
      </c>
      <c r="AI204" s="205">
        <f t="shared" si="198"/>
        <v>0</v>
      </c>
      <c r="AJ204" s="205">
        <f t="shared" si="199"/>
        <v>0</v>
      </c>
      <c r="AK204" s="205">
        <f t="shared" si="215"/>
        <v>0</v>
      </c>
      <c r="AL204" s="205">
        <f t="shared" si="216"/>
        <v>0</v>
      </c>
      <c r="AM204" s="199"/>
      <c r="AN204" s="200">
        <f t="shared" si="274"/>
        <v>17</v>
      </c>
      <c r="AO204" s="201">
        <f t="shared" si="271"/>
        <v>7</v>
      </c>
      <c r="AP204" s="202">
        <f t="shared" ca="1" si="224"/>
        <v>50072</v>
      </c>
      <c r="AQ204" s="203">
        <f>IF(Dashboard!$S$20="Float",AQ203+Dashboard!$T$20/12,AQ203)</f>
        <v>4.4999999999999998E-2</v>
      </c>
      <c r="AR204" s="204">
        <f t="shared" si="217"/>
        <v>187</v>
      </c>
      <c r="AS204" s="205">
        <f t="shared" si="218"/>
        <v>2312326.8197805709</v>
      </c>
      <c r="AT204" s="205">
        <f t="shared" si="201"/>
        <v>-18117.071455543857</v>
      </c>
      <c r="AU204" s="205">
        <f t="shared" si="202"/>
        <v>-8671.2255741771405</v>
      </c>
      <c r="AV204" s="205">
        <f t="shared" si="219"/>
        <v>-9445.8458813667166</v>
      </c>
      <c r="AW204" s="205">
        <f t="shared" si="220"/>
        <v>2302880.9738992043</v>
      </c>
      <c r="AX204" s="199"/>
    </row>
    <row r="205" spans="1:50">
      <c r="A205" s="73"/>
      <c r="B205" s="570"/>
      <c r="C205" s="200">
        <f t="shared" si="272"/>
        <v>16</v>
      </c>
      <c r="D205" s="201">
        <f t="shared" si="268"/>
        <v>8</v>
      </c>
      <c r="E205" s="202">
        <f t="shared" ca="1" si="221"/>
        <v>50100</v>
      </c>
      <c r="F205" s="203">
        <f>IF(Dashboard!$Q$5="Float",F204+Dashboard!$R$5/12,F204)</f>
        <v>0.04</v>
      </c>
      <c r="G205" s="204">
        <f t="shared" si="203"/>
        <v>188</v>
      </c>
      <c r="H205" s="205">
        <f t="shared" si="204"/>
        <v>2350816.1162175876</v>
      </c>
      <c r="I205" s="205">
        <f t="shared" si="191"/>
        <v>-17903.073579954711</v>
      </c>
      <c r="J205" s="205">
        <f t="shared" si="192"/>
        <v>-7836.0537207252919</v>
      </c>
      <c r="K205" s="205">
        <f t="shared" si="205"/>
        <v>-10067.019859229418</v>
      </c>
      <c r="L205" s="205">
        <f t="shared" si="206"/>
        <v>2340749.0963583584</v>
      </c>
      <c r="M205" s="199"/>
      <c r="N205" s="200">
        <f t="shared" ca="1" si="207"/>
        <v>3</v>
      </c>
      <c r="O205" s="509">
        <f t="shared" ca="1" si="193"/>
        <v>36</v>
      </c>
      <c r="P205" s="200">
        <f t="shared" ca="1" si="194"/>
        <v>4</v>
      </c>
      <c r="Q205" s="201">
        <f t="shared" si="269"/>
        <v>8</v>
      </c>
      <c r="R205" s="202">
        <f t="shared" si="222"/>
        <v>45505</v>
      </c>
      <c r="S205" s="203">
        <f t="shared" si="208"/>
        <v>0.04</v>
      </c>
      <c r="T205" s="204">
        <f t="shared" ca="1" si="209"/>
        <v>1</v>
      </c>
      <c r="U205" s="205">
        <f t="shared" ca="1" si="210"/>
        <v>500000</v>
      </c>
      <c r="V205" s="205">
        <f t="shared" ca="1" si="195"/>
        <v>-2387.0764773272977</v>
      </c>
      <c r="W205" s="205">
        <f t="shared" ca="1" si="196"/>
        <v>-1666.6666666666667</v>
      </c>
      <c r="X205" s="205">
        <f t="shared" ca="1" si="211"/>
        <v>-720.40981066063091</v>
      </c>
      <c r="Y205" s="205">
        <f t="shared" ca="1" si="212"/>
        <v>499279.59018933936</v>
      </c>
      <c r="Z205" s="199"/>
      <c r="AA205" s="200">
        <f t="shared" ca="1" si="200"/>
        <v>16</v>
      </c>
      <c r="AB205" s="509">
        <f t="shared" ca="1" si="197"/>
        <v>187</v>
      </c>
      <c r="AC205" s="200">
        <f t="shared" si="273"/>
        <v>16</v>
      </c>
      <c r="AD205" s="201">
        <f t="shared" si="270"/>
        <v>8</v>
      </c>
      <c r="AE205" s="202">
        <f t="shared" ca="1" si="223"/>
        <v>50100</v>
      </c>
      <c r="AF205" s="203">
        <f>IF(Dashboard!$R$24="Float",AF204+Dashboard!$R$24/12,AF204)</f>
        <v>0.06</v>
      </c>
      <c r="AG205" s="204">
        <f t="shared" si="213"/>
        <v>188</v>
      </c>
      <c r="AH205" s="205">
        <f t="shared" si="214"/>
        <v>0</v>
      </c>
      <c r="AI205" s="205">
        <f t="shared" si="198"/>
        <v>0</v>
      </c>
      <c r="AJ205" s="205">
        <f t="shared" si="199"/>
        <v>0</v>
      </c>
      <c r="AK205" s="205">
        <f t="shared" si="215"/>
        <v>0</v>
      </c>
      <c r="AL205" s="205">
        <f t="shared" si="216"/>
        <v>0</v>
      </c>
      <c r="AM205" s="199"/>
      <c r="AN205" s="200">
        <f t="shared" si="274"/>
        <v>17</v>
      </c>
      <c r="AO205" s="201">
        <f t="shared" si="271"/>
        <v>8</v>
      </c>
      <c r="AP205" s="202">
        <f t="shared" ca="1" si="224"/>
        <v>50100</v>
      </c>
      <c r="AQ205" s="203">
        <f>IF(Dashboard!$S$20="Float",AQ204+Dashboard!$T$20/12,AQ204)</f>
        <v>4.4999999999999998E-2</v>
      </c>
      <c r="AR205" s="204">
        <f t="shared" si="217"/>
        <v>188</v>
      </c>
      <c r="AS205" s="205">
        <f t="shared" si="218"/>
        <v>2302880.9738992043</v>
      </c>
      <c r="AT205" s="205">
        <f t="shared" si="201"/>
        <v>-18117.071455543857</v>
      </c>
      <c r="AU205" s="205">
        <f t="shared" si="202"/>
        <v>-8635.8036521220147</v>
      </c>
      <c r="AV205" s="205">
        <f t="shared" si="219"/>
        <v>-9481.2678034218425</v>
      </c>
      <c r="AW205" s="205">
        <f t="shared" si="220"/>
        <v>2293399.7060957826</v>
      </c>
      <c r="AX205" s="199"/>
    </row>
    <row r="206" spans="1:50">
      <c r="A206" s="73"/>
      <c r="B206" s="570"/>
      <c r="C206" s="200">
        <f t="shared" si="272"/>
        <v>16</v>
      </c>
      <c r="D206" s="201">
        <f t="shared" si="268"/>
        <v>9</v>
      </c>
      <c r="E206" s="202">
        <f t="shared" ca="1" si="221"/>
        <v>50131</v>
      </c>
      <c r="F206" s="203">
        <f>IF(Dashboard!$Q$5="Float",F205+Dashboard!$R$5/12,F205)</f>
        <v>0.04</v>
      </c>
      <c r="G206" s="204">
        <f t="shared" si="203"/>
        <v>189</v>
      </c>
      <c r="H206" s="205">
        <f t="shared" si="204"/>
        <v>2340749.0963583584</v>
      </c>
      <c r="I206" s="205">
        <f t="shared" si="191"/>
        <v>-17903.073579954722</v>
      </c>
      <c r="J206" s="205">
        <f t="shared" si="192"/>
        <v>-7802.4969878611946</v>
      </c>
      <c r="K206" s="205">
        <f t="shared" si="205"/>
        <v>-10100.576592093526</v>
      </c>
      <c r="L206" s="205">
        <f t="shared" si="206"/>
        <v>2330648.5197662651</v>
      </c>
      <c r="M206" s="199"/>
      <c r="N206" s="200">
        <f t="shared" ca="1" si="207"/>
        <v>4</v>
      </c>
      <c r="O206" s="509">
        <f t="shared" ca="1" si="193"/>
        <v>37</v>
      </c>
      <c r="P206" s="200">
        <f t="shared" ca="1" si="194"/>
        <v>4</v>
      </c>
      <c r="Q206" s="201">
        <f t="shared" si="269"/>
        <v>9</v>
      </c>
      <c r="R206" s="202">
        <f t="shared" si="222"/>
        <v>45536</v>
      </c>
      <c r="S206" s="203">
        <f t="shared" si="208"/>
        <v>0.04</v>
      </c>
      <c r="T206" s="204">
        <f t="shared" ca="1" si="209"/>
        <v>2</v>
      </c>
      <c r="U206" s="205">
        <f t="shared" ca="1" si="210"/>
        <v>499279.59018933936</v>
      </c>
      <c r="V206" s="205">
        <f t="shared" ca="1" si="195"/>
        <v>-2387.0764773272977</v>
      </c>
      <c r="W206" s="205">
        <f t="shared" ca="1" si="196"/>
        <v>-1664.2653006311311</v>
      </c>
      <c r="X206" s="205">
        <f t="shared" ca="1" si="211"/>
        <v>-722.81117669616651</v>
      </c>
      <c r="Y206" s="205">
        <f t="shared" ca="1" si="212"/>
        <v>498556.77901264321</v>
      </c>
      <c r="Z206" s="199"/>
      <c r="AA206" s="200">
        <f t="shared" ca="1" si="200"/>
        <v>16</v>
      </c>
      <c r="AB206" s="509">
        <f t="shared" ca="1" si="197"/>
        <v>188</v>
      </c>
      <c r="AC206" s="200">
        <f t="shared" si="273"/>
        <v>16</v>
      </c>
      <c r="AD206" s="201">
        <f t="shared" si="270"/>
        <v>9</v>
      </c>
      <c r="AE206" s="202">
        <f t="shared" ca="1" si="223"/>
        <v>50131</v>
      </c>
      <c r="AF206" s="203">
        <f>IF(Dashboard!$R$24="Float",AF205+Dashboard!$R$24/12,AF205)</f>
        <v>0.06</v>
      </c>
      <c r="AG206" s="204">
        <f t="shared" si="213"/>
        <v>189</v>
      </c>
      <c r="AH206" s="205">
        <f t="shared" si="214"/>
        <v>0</v>
      </c>
      <c r="AI206" s="205">
        <f t="shared" si="198"/>
        <v>0</v>
      </c>
      <c r="AJ206" s="205">
        <f t="shared" si="199"/>
        <v>0</v>
      </c>
      <c r="AK206" s="205">
        <f t="shared" si="215"/>
        <v>0</v>
      </c>
      <c r="AL206" s="205">
        <f t="shared" si="216"/>
        <v>0</v>
      </c>
      <c r="AM206" s="199"/>
      <c r="AN206" s="200">
        <f t="shared" si="274"/>
        <v>17</v>
      </c>
      <c r="AO206" s="201">
        <f t="shared" si="271"/>
        <v>9</v>
      </c>
      <c r="AP206" s="202">
        <f t="shared" ca="1" si="224"/>
        <v>50131</v>
      </c>
      <c r="AQ206" s="203">
        <f>IF(Dashboard!$S$20="Float",AQ205+Dashboard!$T$20/12,AQ205)</f>
        <v>4.4999999999999998E-2</v>
      </c>
      <c r="AR206" s="204">
        <f t="shared" si="217"/>
        <v>189</v>
      </c>
      <c r="AS206" s="205">
        <f t="shared" si="218"/>
        <v>2293399.7060957826</v>
      </c>
      <c r="AT206" s="205">
        <f t="shared" si="201"/>
        <v>-18117.071455543861</v>
      </c>
      <c r="AU206" s="205">
        <f t="shared" si="202"/>
        <v>-8600.2488978591846</v>
      </c>
      <c r="AV206" s="205">
        <f t="shared" si="219"/>
        <v>-9516.8225576846762</v>
      </c>
      <c r="AW206" s="205">
        <f t="shared" si="220"/>
        <v>2283882.8835380981</v>
      </c>
      <c r="AX206" s="199"/>
    </row>
    <row r="207" spans="1:50">
      <c r="A207" s="73"/>
      <c r="B207" s="570"/>
      <c r="C207" s="200">
        <f t="shared" si="272"/>
        <v>16</v>
      </c>
      <c r="D207" s="201">
        <f t="shared" si="268"/>
        <v>10</v>
      </c>
      <c r="E207" s="202">
        <f t="shared" ca="1" si="221"/>
        <v>50161</v>
      </c>
      <c r="F207" s="203">
        <f>IF(Dashboard!$Q$5="Float",F206+Dashboard!$R$5/12,F206)</f>
        <v>0.04</v>
      </c>
      <c r="G207" s="204">
        <f t="shared" si="203"/>
        <v>190</v>
      </c>
      <c r="H207" s="205">
        <f t="shared" si="204"/>
        <v>2330648.5197662651</v>
      </c>
      <c r="I207" s="205">
        <f t="shared" si="191"/>
        <v>-17903.073579954718</v>
      </c>
      <c r="J207" s="205">
        <f t="shared" si="192"/>
        <v>-7768.8283992208844</v>
      </c>
      <c r="K207" s="205">
        <f t="shared" si="205"/>
        <v>-10134.245180733833</v>
      </c>
      <c r="L207" s="205">
        <f t="shared" si="206"/>
        <v>2320514.2745855311</v>
      </c>
      <c r="M207" s="199"/>
      <c r="N207" s="200">
        <f t="shared" ca="1" si="207"/>
        <v>4</v>
      </c>
      <c r="O207" s="509">
        <f t="shared" ca="1" si="193"/>
        <v>38</v>
      </c>
      <c r="P207" s="200">
        <f t="shared" ca="1" si="194"/>
        <v>4</v>
      </c>
      <c r="Q207" s="201">
        <f t="shared" si="269"/>
        <v>10</v>
      </c>
      <c r="R207" s="202">
        <f t="shared" si="222"/>
        <v>45566</v>
      </c>
      <c r="S207" s="203">
        <f t="shared" si="208"/>
        <v>0.04</v>
      </c>
      <c r="T207" s="204">
        <f t="shared" ca="1" si="209"/>
        <v>3</v>
      </c>
      <c r="U207" s="205">
        <f t="shared" ca="1" si="210"/>
        <v>498556.77901264321</v>
      </c>
      <c r="V207" s="205">
        <f t="shared" ca="1" si="195"/>
        <v>-2387.0764773272977</v>
      </c>
      <c r="W207" s="205">
        <f t="shared" ca="1" si="196"/>
        <v>-1661.8559300421441</v>
      </c>
      <c r="X207" s="205">
        <f t="shared" ca="1" si="211"/>
        <v>-725.22054728515354</v>
      </c>
      <c r="Y207" s="205">
        <f t="shared" ca="1" si="212"/>
        <v>497831.55846535804</v>
      </c>
      <c r="Z207" s="199"/>
      <c r="AA207" s="200">
        <f t="shared" ca="1" si="200"/>
        <v>16</v>
      </c>
      <c r="AB207" s="509">
        <f t="shared" ca="1" si="197"/>
        <v>189</v>
      </c>
      <c r="AC207" s="200">
        <f t="shared" si="273"/>
        <v>16</v>
      </c>
      <c r="AD207" s="201">
        <f t="shared" si="270"/>
        <v>10</v>
      </c>
      <c r="AE207" s="202">
        <f t="shared" ca="1" si="223"/>
        <v>50161</v>
      </c>
      <c r="AF207" s="203">
        <f>IF(Dashboard!$R$24="Float",AF206+Dashboard!$R$24/12,AF206)</f>
        <v>0.06</v>
      </c>
      <c r="AG207" s="204">
        <f t="shared" si="213"/>
        <v>190</v>
      </c>
      <c r="AH207" s="205">
        <f t="shared" si="214"/>
        <v>0</v>
      </c>
      <c r="AI207" s="205">
        <f t="shared" si="198"/>
        <v>0</v>
      </c>
      <c r="AJ207" s="205">
        <f t="shared" si="199"/>
        <v>0</v>
      </c>
      <c r="AK207" s="205">
        <f t="shared" si="215"/>
        <v>0</v>
      </c>
      <c r="AL207" s="205">
        <f t="shared" si="216"/>
        <v>0</v>
      </c>
      <c r="AM207" s="199"/>
      <c r="AN207" s="200">
        <f t="shared" si="274"/>
        <v>17</v>
      </c>
      <c r="AO207" s="201">
        <f t="shared" si="271"/>
        <v>10</v>
      </c>
      <c r="AP207" s="202">
        <f t="shared" ca="1" si="224"/>
        <v>50161</v>
      </c>
      <c r="AQ207" s="203">
        <f>IF(Dashboard!$S$20="Float",AQ206+Dashboard!$T$20/12,AQ206)</f>
        <v>4.4999999999999998E-2</v>
      </c>
      <c r="AR207" s="204">
        <f t="shared" si="217"/>
        <v>190</v>
      </c>
      <c r="AS207" s="205">
        <f t="shared" si="218"/>
        <v>2283882.8835380981</v>
      </c>
      <c r="AT207" s="205">
        <f t="shared" si="201"/>
        <v>-18117.071455543864</v>
      </c>
      <c r="AU207" s="205">
        <f t="shared" si="202"/>
        <v>-8564.5608132678663</v>
      </c>
      <c r="AV207" s="205">
        <f t="shared" si="219"/>
        <v>-9552.5106422759982</v>
      </c>
      <c r="AW207" s="205">
        <f t="shared" si="220"/>
        <v>2274330.3728958219</v>
      </c>
      <c r="AX207" s="199"/>
    </row>
    <row r="208" spans="1:50">
      <c r="A208" s="73"/>
      <c r="B208" s="570"/>
      <c r="C208" s="200">
        <f t="shared" si="272"/>
        <v>16</v>
      </c>
      <c r="D208" s="201">
        <f t="shared" si="268"/>
        <v>11</v>
      </c>
      <c r="E208" s="202">
        <f t="shared" ca="1" si="221"/>
        <v>50192</v>
      </c>
      <c r="F208" s="203">
        <f>IF(Dashboard!$Q$5="Float",F207+Dashboard!$R$5/12,F207)</f>
        <v>0.04</v>
      </c>
      <c r="G208" s="204">
        <f t="shared" si="203"/>
        <v>191</v>
      </c>
      <c r="H208" s="205">
        <f t="shared" si="204"/>
        <v>2320514.2745855311</v>
      </c>
      <c r="I208" s="205">
        <f t="shared" si="191"/>
        <v>-17903.073579954718</v>
      </c>
      <c r="J208" s="205">
        <f t="shared" si="192"/>
        <v>-7735.0475819517706</v>
      </c>
      <c r="K208" s="205">
        <f t="shared" si="205"/>
        <v>-10168.025998002948</v>
      </c>
      <c r="L208" s="205">
        <f t="shared" si="206"/>
        <v>2310346.2485875282</v>
      </c>
      <c r="M208" s="199"/>
      <c r="N208" s="200">
        <f t="shared" ca="1" si="207"/>
        <v>4</v>
      </c>
      <c r="O208" s="509">
        <f t="shared" ca="1" si="193"/>
        <v>39</v>
      </c>
      <c r="P208" s="200">
        <f t="shared" ca="1" si="194"/>
        <v>4</v>
      </c>
      <c r="Q208" s="201">
        <f t="shared" si="269"/>
        <v>11</v>
      </c>
      <c r="R208" s="202">
        <f t="shared" si="222"/>
        <v>45597</v>
      </c>
      <c r="S208" s="203">
        <f t="shared" si="208"/>
        <v>0.04</v>
      </c>
      <c r="T208" s="204">
        <f t="shared" ca="1" si="209"/>
        <v>4</v>
      </c>
      <c r="U208" s="205">
        <f t="shared" ca="1" si="210"/>
        <v>497831.55846535804</v>
      </c>
      <c r="V208" s="205">
        <f t="shared" ca="1" si="195"/>
        <v>-2387.0764773272977</v>
      </c>
      <c r="W208" s="205">
        <f t="shared" ca="1" si="196"/>
        <v>-1659.43852821786</v>
      </c>
      <c r="X208" s="205">
        <f t="shared" ca="1" si="211"/>
        <v>-727.63794910943761</v>
      </c>
      <c r="Y208" s="205">
        <f t="shared" ca="1" si="212"/>
        <v>497103.92051624862</v>
      </c>
      <c r="Z208" s="199"/>
      <c r="AA208" s="200">
        <f t="shared" ca="1" si="200"/>
        <v>16</v>
      </c>
      <c r="AB208" s="509">
        <f t="shared" ca="1" si="197"/>
        <v>190</v>
      </c>
      <c r="AC208" s="200">
        <f t="shared" si="273"/>
        <v>16</v>
      </c>
      <c r="AD208" s="201">
        <f t="shared" si="270"/>
        <v>11</v>
      </c>
      <c r="AE208" s="202">
        <f t="shared" ca="1" si="223"/>
        <v>50192</v>
      </c>
      <c r="AF208" s="203">
        <f>IF(Dashboard!$R$24="Float",AF207+Dashboard!$R$24/12,AF207)</f>
        <v>0.06</v>
      </c>
      <c r="AG208" s="204">
        <f t="shared" si="213"/>
        <v>191</v>
      </c>
      <c r="AH208" s="205">
        <f t="shared" si="214"/>
        <v>0</v>
      </c>
      <c r="AI208" s="205">
        <f t="shared" si="198"/>
        <v>0</v>
      </c>
      <c r="AJ208" s="205">
        <f t="shared" si="199"/>
        <v>0</v>
      </c>
      <c r="AK208" s="205">
        <f t="shared" si="215"/>
        <v>0</v>
      </c>
      <c r="AL208" s="205">
        <f t="shared" si="216"/>
        <v>0</v>
      </c>
      <c r="AM208" s="199"/>
      <c r="AN208" s="200">
        <f t="shared" si="274"/>
        <v>17</v>
      </c>
      <c r="AO208" s="201">
        <f t="shared" si="271"/>
        <v>11</v>
      </c>
      <c r="AP208" s="202">
        <f t="shared" ca="1" si="224"/>
        <v>50192</v>
      </c>
      <c r="AQ208" s="203">
        <f>IF(Dashboard!$S$20="Float",AQ207+Dashboard!$T$20/12,AQ207)</f>
        <v>4.4999999999999998E-2</v>
      </c>
      <c r="AR208" s="204">
        <f t="shared" si="217"/>
        <v>191</v>
      </c>
      <c r="AS208" s="205">
        <f t="shared" si="218"/>
        <v>2274330.3728958219</v>
      </c>
      <c r="AT208" s="205">
        <f t="shared" si="201"/>
        <v>-18117.071455543857</v>
      </c>
      <c r="AU208" s="205">
        <f t="shared" si="202"/>
        <v>-8528.7388983593319</v>
      </c>
      <c r="AV208" s="205">
        <f t="shared" si="219"/>
        <v>-9588.3325571845253</v>
      </c>
      <c r="AW208" s="205">
        <f t="shared" si="220"/>
        <v>2264742.0403386373</v>
      </c>
      <c r="AX208" s="199"/>
    </row>
    <row r="209" spans="1:50">
      <c r="A209" s="73"/>
      <c r="B209" s="570"/>
      <c r="C209" s="200">
        <f t="shared" si="272"/>
        <v>16</v>
      </c>
      <c r="D209" s="201">
        <f t="shared" si="268"/>
        <v>12</v>
      </c>
      <c r="E209" s="202">
        <f t="shared" ca="1" si="221"/>
        <v>50222</v>
      </c>
      <c r="F209" s="203">
        <f>IF(Dashboard!$Q$5="Float",F208+Dashboard!$R$5/12,F208)</f>
        <v>0.04</v>
      </c>
      <c r="G209" s="204">
        <f t="shared" si="203"/>
        <v>192</v>
      </c>
      <c r="H209" s="205">
        <f t="shared" si="204"/>
        <v>2310346.2485875282</v>
      </c>
      <c r="I209" s="205">
        <f t="shared" si="191"/>
        <v>-17903.073579954718</v>
      </c>
      <c r="J209" s="205">
        <f t="shared" si="192"/>
        <v>-7701.1541619584277</v>
      </c>
      <c r="K209" s="205">
        <f t="shared" si="205"/>
        <v>-10201.919417996291</v>
      </c>
      <c r="L209" s="205">
        <f t="shared" si="206"/>
        <v>2300144.3291695318</v>
      </c>
      <c r="M209" s="199"/>
      <c r="N209" s="200">
        <f t="shared" ca="1" si="207"/>
        <v>4</v>
      </c>
      <c r="O209" s="509">
        <f t="shared" ca="1" si="193"/>
        <v>40</v>
      </c>
      <c r="P209" s="200">
        <f t="shared" ca="1" si="194"/>
        <v>4</v>
      </c>
      <c r="Q209" s="201">
        <f t="shared" si="269"/>
        <v>12</v>
      </c>
      <c r="R209" s="202">
        <f t="shared" si="222"/>
        <v>45627</v>
      </c>
      <c r="S209" s="203">
        <f t="shared" si="208"/>
        <v>0.04</v>
      </c>
      <c r="T209" s="204">
        <f t="shared" ca="1" si="209"/>
        <v>5</v>
      </c>
      <c r="U209" s="205">
        <f t="shared" ca="1" si="210"/>
        <v>497103.92051624862</v>
      </c>
      <c r="V209" s="205">
        <f t="shared" ca="1" si="195"/>
        <v>-2387.0764773272977</v>
      </c>
      <c r="W209" s="205">
        <f t="shared" ca="1" si="196"/>
        <v>-1657.0130683874957</v>
      </c>
      <c r="X209" s="205">
        <f t="shared" ca="1" si="211"/>
        <v>-730.063408939802</v>
      </c>
      <c r="Y209" s="205">
        <f t="shared" ca="1" si="212"/>
        <v>496373.85710730881</v>
      </c>
      <c r="Z209" s="199"/>
      <c r="AA209" s="200">
        <f t="shared" ca="1" si="200"/>
        <v>16</v>
      </c>
      <c r="AB209" s="509">
        <f t="shared" ca="1" si="197"/>
        <v>191</v>
      </c>
      <c r="AC209" s="200">
        <f t="shared" si="273"/>
        <v>16</v>
      </c>
      <c r="AD209" s="201">
        <f t="shared" si="270"/>
        <v>12</v>
      </c>
      <c r="AE209" s="202">
        <f t="shared" ca="1" si="223"/>
        <v>50222</v>
      </c>
      <c r="AF209" s="203">
        <f>IF(Dashboard!$R$24="Float",AF208+Dashboard!$R$24/12,AF208)</f>
        <v>0.06</v>
      </c>
      <c r="AG209" s="204">
        <f t="shared" si="213"/>
        <v>192</v>
      </c>
      <c r="AH209" s="205">
        <f t="shared" si="214"/>
        <v>0</v>
      </c>
      <c r="AI209" s="205">
        <f t="shared" si="198"/>
        <v>0</v>
      </c>
      <c r="AJ209" s="205">
        <f t="shared" si="199"/>
        <v>0</v>
      </c>
      <c r="AK209" s="205">
        <f t="shared" si="215"/>
        <v>0</v>
      </c>
      <c r="AL209" s="205">
        <f t="shared" si="216"/>
        <v>0</v>
      </c>
      <c r="AM209" s="199"/>
      <c r="AN209" s="200">
        <f t="shared" si="274"/>
        <v>17</v>
      </c>
      <c r="AO209" s="201">
        <f t="shared" si="271"/>
        <v>12</v>
      </c>
      <c r="AP209" s="202">
        <f t="shared" ca="1" si="224"/>
        <v>50222</v>
      </c>
      <c r="AQ209" s="203">
        <f>IF(Dashboard!$S$20="Float",AQ208+Dashboard!$T$20/12,AQ208)</f>
        <v>4.4999999999999998E-2</v>
      </c>
      <c r="AR209" s="204">
        <f t="shared" si="217"/>
        <v>192</v>
      </c>
      <c r="AS209" s="205">
        <f t="shared" si="218"/>
        <v>2264742.0403386373</v>
      </c>
      <c r="AT209" s="205">
        <f t="shared" si="201"/>
        <v>-18117.071455543861</v>
      </c>
      <c r="AU209" s="205">
        <f t="shared" si="202"/>
        <v>-8492.7826512698903</v>
      </c>
      <c r="AV209" s="205">
        <f t="shared" si="219"/>
        <v>-9624.2888042739705</v>
      </c>
      <c r="AW209" s="205">
        <f t="shared" si="220"/>
        <v>2255117.7515343633</v>
      </c>
      <c r="AX209" s="199"/>
    </row>
    <row r="210" spans="1:50">
      <c r="A210" s="73"/>
      <c r="B210" s="571">
        <f>+C210</f>
        <v>17</v>
      </c>
      <c r="C210" s="16">
        <f t="shared" ref="C210" si="275">+C209+1</f>
        <v>17</v>
      </c>
      <c r="D210" s="17">
        <v>1</v>
      </c>
      <c r="E210" s="18">
        <f t="shared" ca="1" si="221"/>
        <v>50253</v>
      </c>
      <c r="F210" s="10">
        <f>IF(Dashboard!$Q$5="Float",F209+Dashboard!$R$5/12,F209)</f>
        <v>0.04</v>
      </c>
      <c r="G210" s="14">
        <f t="shared" si="203"/>
        <v>193</v>
      </c>
      <c r="H210" s="5">
        <f t="shared" si="204"/>
        <v>2300144.3291695318</v>
      </c>
      <c r="I210" s="5">
        <f t="shared" ref="I210:I273" si="276">+IFERROR(IF(C210&gt;D$6,PMT(LOOKUP(C210,$C$18:$C$497,F$18:F$497)/12,D$5+1-G210,H210),-H210*LOOKUP(C210,C$18:C$497,F$18:F$497)/12),0)</f>
        <v>-17903.073579954718</v>
      </c>
      <c r="J210" s="5">
        <f t="shared" ref="J210:J273" si="277">-H210*LOOKUP(C210,C$18:C$497,F$18:F$497)/12</f>
        <v>-7667.1477638984397</v>
      </c>
      <c r="K210" s="5">
        <f t="shared" si="205"/>
        <v>-10235.925816056279</v>
      </c>
      <c r="L210" s="5">
        <f t="shared" si="206"/>
        <v>2289908.4033534755</v>
      </c>
      <c r="M210" s="199"/>
      <c r="N210" s="16">
        <f t="shared" ca="1" si="207"/>
        <v>4</v>
      </c>
      <c r="O210" s="508">
        <f t="shared" ref="O210:O273" ca="1" si="278">+IF(CDate&gt;=$R210,0,IF(O209&gt;0,O209+1,1))</f>
        <v>41</v>
      </c>
      <c r="P210" s="16">
        <f t="shared" ref="P210:P273" ca="1" si="279">+IFERROR(LOOKUP($R210,$E$18:$E$497,$C$18:$C$497),0)</f>
        <v>4</v>
      </c>
      <c r="Q210" s="17">
        <v>1</v>
      </c>
      <c r="R210" s="18">
        <f t="shared" si="222"/>
        <v>45658</v>
      </c>
      <c r="S210" s="10">
        <f t="shared" si="208"/>
        <v>0.04</v>
      </c>
      <c r="T210" s="14">
        <f t="shared" ca="1" si="209"/>
        <v>6</v>
      </c>
      <c r="U210" s="5">
        <f t="shared" ca="1" si="210"/>
        <v>496373.85710730881</v>
      </c>
      <c r="V210" s="5">
        <f t="shared" ref="V210:V273" ca="1" si="280">+IFERROR(IF(P210&gt;Q$6,PMT(LOOKUP(P210,$C$18:$C$497,S$18:S$497)/12,Q$5+1-T210,U210),-U210*LOOKUP(P210,P$18:P$497,S$18:S$497)/12),0)</f>
        <v>-2387.0764773272972</v>
      </c>
      <c r="W210" s="5">
        <f t="shared" ref="W210:W273" ca="1" si="281">-U210*LOOKUP(P210,P$18:P$497,S$18:S$497)/12</f>
        <v>-1654.5795236910292</v>
      </c>
      <c r="X210" s="5">
        <f t="shared" ca="1" si="211"/>
        <v>-732.49695363626802</v>
      </c>
      <c r="Y210" s="5">
        <f t="shared" ca="1" si="212"/>
        <v>495641.36015367252</v>
      </c>
      <c r="Z210" s="199"/>
      <c r="AA210" s="16">
        <f t="shared" ca="1" si="200"/>
        <v>16</v>
      </c>
      <c r="AB210" s="508">
        <f t="shared" ref="AB210:AB273" ca="1" si="282">+IF(CDate&gt;=$AE210,0,IF(AB209&gt;0,AB209+1,1))</f>
        <v>192</v>
      </c>
      <c r="AC210" s="16">
        <f t="shared" ref="AC210" si="283">+AC209+1</f>
        <v>17</v>
      </c>
      <c r="AD210" s="17">
        <v>1</v>
      </c>
      <c r="AE210" s="18">
        <f t="shared" ca="1" si="223"/>
        <v>50253</v>
      </c>
      <c r="AF210" s="10">
        <f>IF(Dashboard!$R$24="Float",AF209+Dashboard!$R$24/12,AF209)</f>
        <v>0.06</v>
      </c>
      <c r="AG210" s="14">
        <f t="shared" si="213"/>
        <v>193</v>
      </c>
      <c r="AH210" s="5">
        <f t="shared" si="214"/>
        <v>0</v>
      </c>
      <c r="AI210" s="5">
        <f t="shared" ref="AI210:AI273" si="284">+IFERROR(IF(AC210&gt;AD$6,PMT(LOOKUP(AC210,$C$18:$C$497,AF$18:AF$497)/12,AD$5+1-AG210,AH210),-AH210*LOOKUP(AC210,AC$18:AC$497,AF$18:AF$497)/12),0)</f>
        <v>0</v>
      </c>
      <c r="AJ210" s="5">
        <f t="shared" ref="AJ210:AJ273" si="285">-AH210*LOOKUP(AC210,AC$18:AC$497,AF$18:AF$497)/12</f>
        <v>0</v>
      </c>
      <c r="AK210" s="5">
        <f t="shared" si="215"/>
        <v>0</v>
      </c>
      <c r="AL210" s="5">
        <f t="shared" si="216"/>
        <v>0</v>
      </c>
      <c r="AM210" s="199"/>
      <c r="AN210" s="16">
        <f t="shared" ref="AN210" si="286">+AN209+1</f>
        <v>18</v>
      </c>
      <c r="AO210" s="17">
        <v>1</v>
      </c>
      <c r="AP210" s="18">
        <f t="shared" ca="1" si="224"/>
        <v>50253</v>
      </c>
      <c r="AQ210" s="10">
        <f>IF(Dashboard!$S$20="Float",AQ209+Dashboard!$T$20/12,AQ209)</f>
        <v>4.4999999999999998E-2</v>
      </c>
      <c r="AR210" s="14">
        <f t="shared" si="217"/>
        <v>193</v>
      </c>
      <c r="AS210" s="5">
        <f t="shared" si="218"/>
        <v>2255117.7515343633</v>
      </c>
      <c r="AT210" s="5">
        <f t="shared" si="201"/>
        <v>-18117.071455543857</v>
      </c>
      <c r="AU210" s="5">
        <f t="shared" si="202"/>
        <v>-8456.691568253862</v>
      </c>
      <c r="AV210" s="5">
        <f t="shared" si="219"/>
        <v>-9660.3798872899952</v>
      </c>
      <c r="AW210" s="5">
        <f t="shared" si="220"/>
        <v>2245457.3716470734</v>
      </c>
      <c r="AX210" s="199"/>
    </row>
    <row r="211" spans="1:50">
      <c r="A211" s="73"/>
      <c r="B211" s="572"/>
      <c r="C211" s="16">
        <f>+C210</f>
        <v>17</v>
      </c>
      <c r="D211" s="17">
        <f>+D210+1</f>
        <v>2</v>
      </c>
      <c r="E211" s="18">
        <f t="shared" ca="1" si="221"/>
        <v>50284</v>
      </c>
      <c r="F211" s="10">
        <f>IF(Dashboard!$Q$5="Float",F210+Dashboard!$R$5/12,F210)</f>
        <v>0.04</v>
      </c>
      <c r="G211" s="14">
        <f t="shared" si="203"/>
        <v>194</v>
      </c>
      <c r="H211" s="5">
        <f t="shared" si="204"/>
        <v>2289908.4033534755</v>
      </c>
      <c r="I211" s="5">
        <f t="shared" si="276"/>
        <v>-17903.073579954715</v>
      </c>
      <c r="J211" s="5">
        <f t="shared" si="277"/>
        <v>-7633.0280111782522</v>
      </c>
      <c r="K211" s="5">
        <f t="shared" si="205"/>
        <v>-10270.045568776462</v>
      </c>
      <c r="L211" s="5">
        <f t="shared" si="206"/>
        <v>2279638.3577846992</v>
      </c>
      <c r="M211" s="199"/>
      <c r="N211" s="16">
        <f t="shared" ca="1" si="207"/>
        <v>4</v>
      </c>
      <c r="O211" s="508">
        <f t="shared" ca="1" si="278"/>
        <v>42</v>
      </c>
      <c r="P211" s="16">
        <f t="shared" ca="1" si="279"/>
        <v>4</v>
      </c>
      <c r="Q211" s="17">
        <f>+Q210+1</f>
        <v>2</v>
      </c>
      <c r="R211" s="18">
        <f t="shared" si="222"/>
        <v>45689</v>
      </c>
      <c r="S211" s="10">
        <f t="shared" si="208"/>
        <v>0.04</v>
      </c>
      <c r="T211" s="14">
        <f t="shared" ca="1" si="209"/>
        <v>7</v>
      </c>
      <c r="U211" s="5">
        <f t="shared" ca="1" si="210"/>
        <v>495641.36015367252</v>
      </c>
      <c r="V211" s="5">
        <f t="shared" ca="1" si="280"/>
        <v>-2387.0764773272972</v>
      </c>
      <c r="W211" s="5">
        <f t="shared" ca="1" si="281"/>
        <v>-1652.1378671789082</v>
      </c>
      <c r="X211" s="5">
        <f t="shared" ca="1" si="211"/>
        <v>-734.93861014838899</v>
      </c>
      <c r="Y211" s="5">
        <f t="shared" ca="1" si="212"/>
        <v>494906.42154352413</v>
      </c>
      <c r="Z211" s="199"/>
      <c r="AA211" s="16">
        <f t="shared" ref="AA211:AA274" ca="1" si="287">+ROUNDUP(AB211/12,0)</f>
        <v>17</v>
      </c>
      <c r="AB211" s="508">
        <f t="shared" ca="1" si="282"/>
        <v>193</v>
      </c>
      <c r="AC211" s="16">
        <f>+AC210</f>
        <v>17</v>
      </c>
      <c r="AD211" s="17">
        <f>+AD210+1</f>
        <v>2</v>
      </c>
      <c r="AE211" s="18">
        <f t="shared" ca="1" si="223"/>
        <v>50284</v>
      </c>
      <c r="AF211" s="10">
        <f>IF(Dashboard!$R$24="Float",AF210+Dashboard!$R$24/12,AF210)</f>
        <v>0.06</v>
      </c>
      <c r="AG211" s="14">
        <f t="shared" si="213"/>
        <v>194</v>
      </c>
      <c r="AH211" s="5">
        <f t="shared" si="214"/>
        <v>0</v>
      </c>
      <c r="AI211" s="5">
        <f t="shared" si="284"/>
        <v>0</v>
      </c>
      <c r="AJ211" s="5">
        <f t="shared" si="285"/>
        <v>0</v>
      </c>
      <c r="AK211" s="5">
        <f t="shared" si="215"/>
        <v>0</v>
      </c>
      <c r="AL211" s="5">
        <f t="shared" si="216"/>
        <v>0</v>
      </c>
      <c r="AM211" s="199"/>
      <c r="AN211" s="16">
        <f>+AN210</f>
        <v>18</v>
      </c>
      <c r="AO211" s="17">
        <f>+AO210+1</f>
        <v>2</v>
      </c>
      <c r="AP211" s="18">
        <f t="shared" ca="1" si="224"/>
        <v>50284</v>
      </c>
      <c r="AQ211" s="10">
        <f>IF(Dashboard!$S$20="Float",AQ210+Dashboard!$T$20/12,AQ210)</f>
        <v>4.4999999999999998E-2</v>
      </c>
      <c r="AR211" s="14">
        <f t="shared" si="217"/>
        <v>194</v>
      </c>
      <c r="AS211" s="5">
        <f t="shared" si="218"/>
        <v>2245457.3716470734</v>
      </c>
      <c r="AT211" s="5">
        <f t="shared" ref="AT211:AT274" si="288">+IFERROR(IF(AN211&gt;AO$6+$AT$5-1,PMT(LOOKUP(AN211,$AT$5:$AT$15,$AU$5:$AU$15)/12,$AO$5+1-AR211,AS211),-AS211*LOOKUP(AN211,AN$18:AN$497,AQ$18:AQ$497)/12),0)</f>
        <v>-18117.071455543861</v>
      </c>
      <c r="AU211" s="5">
        <f t="shared" ref="AU211:AU274" si="289">-AS211*LOOKUP(AN211,$AT$5:$AT$15,$AU$5:$AU$15)/12</f>
        <v>-8420.4651436765253</v>
      </c>
      <c r="AV211" s="5">
        <f t="shared" si="219"/>
        <v>-9696.6063118673355</v>
      </c>
      <c r="AW211" s="5">
        <f t="shared" si="220"/>
        <v>2235760.7653352059</v>
      </c>
      <c r="AX211" s="199"/>
    </row>
    <row r="212" spans="1:50">
      <c r="A212" s="73"/>
      <c r="B212" s="572"/>
      <c r="C212" s="16">
        <f>+C211</f>
        <v>17</v>
      </c>
      <c r="D212" s="17">
        <f>+D211+1</f>
        <v>3</v>
      </c>
      <c r="E212" s="18">
        <f t="shared" ca="1" si="221"/>
        <v>50314</v>
      </c>
      <c r="F212" s="10">
        <f>IF(Dashboard!$Q$5="Float",F211+Dashboard!$R$5/12,F211)</f>
        <v>0.04</v>
      </c>
      <c r="G212" s="14">
        <f t="shared" ref="G212:G275" si="290">+IF(G211="I/O",IF(C212&lt;=D$6,"I/O",1),G211+1)</f>
        <v>195</v>
      </c>
      <c r="H212" s="5">
        <f t="shared" ref="H212:H275" si="291">+L211</f>
        <v>2279638.3577846992</v>
      </c>
      <c r="I212" s="5">
        <f t="shared" si="276"/>
        <v>-17903.073579954718</v>
      </c>
      <c r="J212" s="5">
        <f t="shared" si="277"/>
        <v>-7598.794525948997</v>
      </c>
      <c r="K212" s="5">
        <f t="shared" ref="K212:K275" si="292">+I212-J212</f>
        <v>-10304.279054005721</v>
      </c>
      <c r="L212" s="5">
        <f t="shared" ref="L212:L275" si="293">IFERROR(H212+K212,0)</f>
        <v>2269334.0787306936</v>
      </c>
      <c r="M212" s="199"/>
      <c r="N212" s="16">
        <f t="shared" ref="N212:N275" ca="1" si="294">+ROUNDUP(O212/12,0)</f>
        <v>4</v>
      </c>
      <c r="O212" s="508">
        <f t="shared" ca="1" si="278"/>
        <v>43</v>
      </c>
      <c r="P212" s="16">
        <f t="shared" ca="1" si="279"/>
        <v>4</v>
      </c>
      <c r="Q212" s="17">
        <f>+Q211+1</f>
        <v>3</v>
      </c>
      <c r="R212" s="18">
        <f t="shared" si="222"/>
        <v>45717</v>
      </c>
      <c r="S212" s="10">
        <f t="shared" ref="S212:S275" si="295">+S211</f>
        <v>0.04</v>
      </c>
      <c r="T212" s="14">
        <f t="shared" ref="T212:T275" ca="1" si="296">+IF(T211="I/O",IF(P212&lt;=Q$6,"I/O",1),T211+1)</f>
        <v>8</v>
      </c>
      <c r="U212" s="5">
        <f t="shared" ref="U212:U275" ca="1" si="297">+Y211</f>
        <v>494906.42154352413</v>
      </c>
      <c r="V212" s="5">
        <f t="shared" ca="1" si="280"/>
        <v>-2387.0764773272977</v>
      </c>
      <c r="W212" s="5">
        <f t="shared" ca="1" si="281"/>
        <v>-1649.6880718117472</v>
      </c>
      <c r="X212" s="5">
        <f t="shared" ref="X212:X275" ca="1" si="298">+V212-W212</f>
        <v>-737.3884055155504</v>
      </c>
      <c r="Y212" s="5">
        <f t="shared" ref="Y212:Y275" ca="1" si="299">IFERROR(U212+X212,0)</f>
        <v>494169.03313800856</v>
      </c>
      <c r="Z212" s="199"/>
      <c r="AA212" s="16">
        <f t="shared" ca="1" si="287"/>
        <v>17</v>
      </c>
      <c r="AB212" s="508">
        <f t="shared" ca="1" si="282"/>
        <v>194</v>
      </c>
      <c r="AC212" s="16">
        <f>+AC211</f>
        <v>17</v>
      </c>
      <c r="AD212" s="17">
        <f>+AD211+1</f>
        <v>3</v>
      </c>
      <c r="AE212" s="18">
        <f t="shared" ca="1" si="223"/>
        <v>50314</v>
      </c>
      <c r="AF212" s="10">
        <f>IF(Dashboard!$R$24="Float",AF211+Dashboard!$R$24/12,AF211)</f>
        <v>0.06</v>
      </c>
      <c r="AG212" s="14">
        <f t="shared" ref="AG212:AG275" si="300">+IF(AG211="I/O",IF(AC212&lt;=AD$6,"I/O",1),AG211+1)</f>
        <v>195</v>
      </c>
      <c r="AH212" s="5">
        <f t="shared" ref="AH212:AH275" si="301">+AL211</f>
        <v>0</v>
      </c>
      <c r="AI212" s="5">
        <f t="shared" si="284"/>
        <v>0</v>
      </c>
      <c r="AJ212" s="5">
        <f t="shared" si="285"/>
        <v>0</v>
      </c>
      <c r="AK212" s="5">
        <f t="shared" ref="AK212:AK275" si="302">+AI212-AJ212</f>
        <v>0</v>
      </c>
      <c r="AL212" s="5">
        <f t="shared" ref="AL212:AL275" si="303">IFERROR(AH212+AK212,0)</f>
        <v>0</v>
      </c>
      <c r="AM212" s="199"/>
      <c r="AN212" s="16">
        <f>+AN211</f>
        <v>18</v>
      </c>
      <c r="AO212" s="17">
        <f>+AO211+1</f>
        <v>3</v>
      </c>
      <c r="AP212" s="18">
        <f t="shared" ca="1" si="224"/>
        <v>50314</v>
      </c>
      <c r="AQ212" s="10">
        <f>IF(Dashboard!$S$20="Float",AQ211+Dashboard!$T$20/12,AQ211)</f>
        <v>4.4999999999999998E-2</v>
      </c>
      <c r="AR212" s="14">
        <f t="shared" ref="AR212:AR275" si="304">+IF(AR211="I/O",IF(AN212&lt;=AO$6,"I/O",1),AR211+1)</f>
        <v>195</v>
      </c>
      <c r="AS212" s="5">
        <f t="shared" ref="AS212:AS275" si="305">+AW211</f>
        <v>2235760.7653352059</v>
      </c>
      <c r="AT212" s="5">
        <f t="shared" si="288"/>
        <v>-18117.071455543854</v>
      </c>
      <c r="AU212" s="5">
        <f t="shared" si="289"/>
        <v>-8384.1028700070219</v>
      </c>
      <c r="AV212" s="5">
        <f t="shared" ref="AV212:AV275" si="306">+AT212-AU212</f>
        <v>-9732.9685855368316</v>
      </c>
      <c r="AW212" s="5">
        <f t="shared" ref="AW212:AW275" si="307">IFERROR(AS212+AV212,0)</f>
        <v>2226027.7967496691</v>
      </c>
      <c r="AX212" s="199"/>
    </row>
    <row r="213" spans="1:50">
      <c r="A213" s="73"/>
      <c r="B213" s="572"/>
      <c r="C213" s="16">
        <f>+C212</f>
        <v>17</v>
      </c>
      <c r="D213" s="17">
        <f t="shared" ref="D213:D221" si="308">+D212+1</f>
        <v>4</v>
      </c>
      <c r="E213" s="18">
        <f t="shared" ref="E213:E276" ca="1" si="309">+EDATE(E212,1)</f>
        <v>50345</v>
      </c>
      <c r="F213" s="10">
        <f>IF(Dashboard!$Q$5="Float",F212+Dashboard!$R$5/12,F212)</f>
        <v>0.04</v>
      </c>
      <c r="G213" s="14">
        <f t="shared" si="290"/>
        <v>196</v>
      </c>
      <c r="H213" s="5">
        <f t="shared" si="291"/>
        <v>2269334.0787306936</v>
      </c>
      <c r="I213" s="5">
        <f t="shared" si="276"/>
        <v>-17903.073579954718</v>
      </c>
      <c r="J213" s="5">
        <f t="shared" si="277"/>
        <v>-7564.4469291023124</v>
      </c>
      <c r="K213" s="5">
        <f t="shared" si="292"/>
        <v>-10338.626650852406</v>
      </c>
      <c r="L213" s="5">
        <f t="shared" si="293"/>
        <v>2258995.4520798409</v>
      </c>
      <c r="M213" s="199"/>
      <c r="N213" s="16">
        <f t="shared" ca="1" si="294"/>
        <v>4</v>
      </c>
      <c r="O213" s="508">
        <f t="shared" ca="1" si="278"/>
        <v>44</v>
      </c>
      <c r="P213" s="16">
        <f t="shared" ca="1" si="279"/>
        <v>4</v>
      </c>
      <c r="Q213" s="17">
        <f t="shared" ref="Q213:Q221" si="310">+Q212+1</f>
        <v>4</v>
      </c>
      <c r="R213" s="18">
        <f t="shared" ref="R213:R276" si="311">+EDATE(R212,1)</f>
        <v>45748</v>
      </c>
      <c r="S213" s="10">
        <f t="shared" si="295"/>
        <v>0.04</v>
      </c>
      <c r="T213" s="14">
        <f t="shared" ca="1" si="296"/>
        <v>9</v>
      </c>
      <c r="U213" s="5">
        <f t="shared" ca="1" si="297"/>
        <v>494169.03313800856</v>
      </c>
      <c r="V213" s="5">
        <f t="shared" ca="1" si="280"/>
        <v>-2387.0764773272972</v>
      </c>
      <c r="W213" s="5">
        <f t="shared" ca="1" si="281"/>
        <v>-1647.2301104600285</v>
      </c>
      <c r="X213" s="5">
        <f t="shared" ca="1" si="298"/>
        <v>-739.84636686726867</v>
      </c>
      <c r="Y213" s="5">
        <f t="shared" ca="1" si="299"/>
        <v>493429.18677114131</v>
      </c>
      <c r="Z213" s="199"/>
      <c r="AA213" s="16">
        <f t="shared" ca="1" si="287"/>
        <v>17</v>
      </c>
      <c r="AB213" s="508">
        <f t="shared" ca="1" si="282"/>
        <v>195</v>
      </c>
      <c r="AC213" s="16">
        <f>+AC212</f>
        <v>17</v>
      </c>
      <c r="AD213" s="17">
        <f t="shared" ref="AD213:AD221" si="312">+AD212+1</f>
        <v>4</v>
      </c>
      <c r="AE213" s="18">
        <f t="shared" ref="AE213:AE276" ca="1" si="313">+EDATE(AE212,1)</f>
        <v>50345</v>
      </c>
      <c r="AF213" s="10">
        <f>IF(Dashboard!$R$24="Float",AF212+Dashboard!$R$24/12,AF212)</f>
        <v>0.06</v>
      </c>
      <c r="AG213" s="14">
        <f t="shared" si="300"/>
        <v>196</v>
      </c>
      <c r="AH213" s="5">
        <f t="shared" si="301"/>
        <v>0</v>
      </c>
      <c r="AI213" s="5">
        <f t="shared" si="284"/>
        <v>0</v>
      </c>
      <c r="AJ213" s="5">
        <f t="shared" si="285"/>
        <v>0</v>
      </c>
      <c r="AK213" s="5">
        <f t="shared" si="302"/>
        <v>0</v>
      </c>
      <c r="AL213" s="5">
        <f t="shared" si="303"/>
        <v>0</v>
      </c>
      <c r="AM213" s="199"/>
      <c r="AN213" s="16">
        <f>+AN212</f>
        <v>18</v>
      </c>
      <c r="AO213" s="17">
        <f t="shared" ref="AO213:AO221" si="314">+AO212+1</f>
        <v>4</v>
      </c>
      <c r="AP213" s="18">
        <f t="shared" ref="AP213:AP276" ca="1" si="315">+EDATE(AP212,1)</f>
        <v>50345</v>
      </c>
      <c r="AQ213" s="10">
        <f>IF(Dashboard!$S$20="Float",AQ212+Dashboard!$T$20/12,AQ212)</f>
        <v>4.4999999999999998E-2</v>
      </c>
      <c r="AR213" s="14">
        <f t="shared" si="304"/>
        <v>196</v>
      </c>
      <c r="AS213" s="5">
        <f t="shared" si="305"/>
        <v>2226027.7967496691</v>
      </c>
      <c r="AT213" s="5">
        <f t="shared" si="288"/>
        <v>-18117.071455543861</v>
      </c>
      <c r="AU213" s="5">
        <f t="shared" si="289"/>
        <v>-8347.6042378112597</v>
      </c>
      <c r="AV213" s="5">
        <f t="shared" si="306"/>
        <v>-9769.4672177326011</v>
      </c>
      <c r="AW213" s="5">
        <f t="shared" si="307"/>
        <v>2216258.3295319364</v>
      </c>
      <c r="AX213" s="199"/>
    </row>
    <row r="214" spans="1:50">
      <c r="A214" s="73"/>
      <c r="B214" s="572"/>
      <c r="C214" s="16">
        <f t="shared" ref="C214:C221" si="316">+C213</f>
        <v>17</v>
      </c>
      <c r="D214" s="17">
        <f t="shared" si="308"/>
        <v>5</v>
      </c>
      <c r="E214" s="18">
        <f t="shared" ca="1" si="309"/>
        <v>50375</v>
      </c>
      <c r="F214" s="10">
        <f>IF(Dashboard!$Q$5="Float",F213+Dashboard!$R$5/12,F213)</f>
        <v>0.04</v>
      </c>
      <c r="G214" s="14">
        <f t="shared" si="290"/>
        <v>197</v>
      </c>
      <c r="H214" s="5">
        <f t="shared" si="291"/>
        <v>2258995.4520798409</v>
      </c>
      <c r="I214" s="5">
        <f t="shared" si="276"/>
        <v>-17903.073579954718</v>
      </c>
      <c r="J214" s="5">
        <f t="shared" si="277"/>
        <v>-7529.9848402661364</v>
      </c>
      <c r="K214" s="5">
        <f t="shared" si="292"/>
        <v>-10373.088739688581</v>
      </c>
      <c r="L214" s="5">
        <f t="shared" si="293"/>
        <v>2248622.3633401524</v>
      </c>
      <c r="M214" s="199"/>
      <c r="N214" s="16">
        <f t="shared" ca="1" si="294"/>
        <v>4</v>
      </c>
      <c r="O214" s="508">
        <f t="shared" ca="1" si="278"/>
        <v>45</v>
      </c>
      <c r="P214" s="16">
        <f t="shared" ca="1" si="279"/>
        <v>4</v>
      </c>
      <c r="Q214" s="17">
        <f t="shared" si="310"/>
        <v>5</v>
      </c>
      <c r="R214" s="18">
        <f t="shared" si="311"/>
        <v>45778</v>
      </c>
      <c r="S214" s="10">
        <f t="shared" si="295"/>
        <v>0.04</v>
      </c>
      <c r="T214" s="14">
        <f t="shared" ca="1" si="296"/>
        <v>10</v>
      </c>
      <c r="U214" s="5">
        <f t="shared" ca="1" si="297"/>
        <v>493429.18677114131</v>
      </c>
      <c r="V214" s="5">
        <f t="shared" ca="1" si="280"/>
        <v>-2387.0764773272972</v>
      </c>
      <c r="W214" s="5">
        <f t="shared" ca="1" si="281"/>
        <v>-1644.7639559038043</v>
      </c>
      <c r="X214" s="5">
        <f t="shared" ca="1" si="298"/>
        <v>-742.31252142349285</v>
      </c>
      <c r="Y214" s="5">
        <f t="shared" ca="1" si="299"/>
        <v>492686.8742497178</v>
      </c>
      <c r="Z214" s="199"/>
      <c r="AA214" s="16">
        <f t="shared" ca="1" si="287"/>
        <v>17</v>
      </c>
      <c r="AB214" s="508">
        <f t="shared" ca="1" si="282"/>
        <v>196</v>
      </c>
      <c r="AC214" s="16">
        <f t="shared" ref="AC214:AC221" si="317">+AC213</f>
        <v>17</v>
      </c>
      <c r="AD214" s="17">
        <f t="shared" si="312"/>
        <v>5</v>
      </c>
      <c r="AE214" s="18">
        <f t="shared" ca="1" si="313"/>
        <v>50375</v>
      </c>
      <c r="AF214" s="10">
        <f>IF(Dashboard!$R$24="Float",AF213+Dashboard!$R$24/12,AF213)</f>
        <v>0.06</v>
      </c>
      <c r="AG214" s="14">
        <f t="shared" si="300"/>
        <v>197</v>
      </c>
      <c r="AH214" s="5">
        <f t="shared" si="301"/>
        <v>0</v>
      </c>
      <c r="AI214" s="5">
        <f t="shared" si="284"/>
        <v>0</v>
      </c>
      <c r="AJ214" s="5">
        <f t="shared" si="285"/>
        <v>0</v>
      </c>
      <c r="AK214" s="5">
        <f t="shared" si="302"/>
        <v>0</v>
      </c>
      <c r="AL214" s="5">
        <f t="shared" si="303"/>
        <v>0</v>
      </c>
      <c r="AM214" s="199"/>
      <c r="AN214" s="16">
        <f t="shared" ref="AN214:AN221" si="318">+AN213</f>
        <v>18</v>
      </c>
      <c r="AO214" s="17">
        <f t="shared" si="314"/>
        <v>5</v>
      </c>
      <c r="AP214" s="18">
        <f t="shared" ca="1" si="315"/>
        <v>50375</v>
      </c>
      <c r="AQ214" s="10">
        <f>IF(Dashboard!$S$20="Float",AQ213+Dashboard!$T$20/12,AQ213)</f>
        <v>4.4999999999999998E-2</v>
      </c>
      <c r="AR214" s="14">
        <f t="shared" si="304"/>
        <v>197</v>
      </c>
      <c r="AS214" s="5">
        <f t="shared" si="305"/>
        <v>2216258.3295319364</v>
      </c>
      <c r="AT214" s="5">
        <f t="shared" si="288"/>
        <v>-18117.071455543857</v>
      </c>
      <c r="AU214" s="5">
        <f t="shared" si="289"/>
        <v>-8310.9687357447619</v>
      </c>
      <c r="AV214" s="5">
        <f t="shared" si="306"/>
        <v>-9806.1027197990952</v>
      </c>
      <c r="AW214" s="5">
        <f t="shared" si="307"/>
        <v>2206452.2268121373</v>
      </c>
      <c r="AX214" s="199"/>
    </row>
    <row r="215" spans="1:50">
      <c r="A215" s="73"/>
      <c r="B215" s="572"/>
      <c r="C215" s="16">
        <f t="shared" si="316"/>
        <v>17</v>
      </c>
      <c r="D215" s="17">
        <f t="shared" si="308"/>
        <v>6</v>
      </c>
      <c r="E215" s="18">
        <f t="shared" ca="1" si="309"/>
        <v>50406</v>
      </c>
      <c r="F215" s="10">
        <f>IF(Dashboard!$Q$5="Float",F214+Dashboard!$R$5/12,F214)</f>
        <v>0.04</v>
      </c>
      <c r="G215" s="14">
        <f t="shared" si="290"/>
        <v>198</v>
      </c>
      <c r="H215" s="5">
        <f t="shared" si="291"/>
        <v>2248622.3633401524</v>
      </c>
      <c r="I215" s="5">
        <f t="shared" si="276"/>
        <v>-17903.073579954718</v>
      </c>
      <c r="J215" s="5">
        <f t="shared" si="277"/>
        <v>-7495.4078778005087</v>
      </c>
      <c r="K215" s="5">
        <f t="shared" si="292"/>
        <v>-10407.665702154209</v>
      </c>
      <c r="L215" s="5">
        <f t="shared" si="293"/>
        <v>2238214.697637998</v>
      </c>
      <c r="M215" s="199"/>
      <c r="N215" s="16">
        <f t="shared" ca="1" si="294"/>
        <v>4</v>
      </c>
      <c r="O215" s="508">
        <f t="shared" ca="1" si="278"/>
        <v>46</v>
      </c>
      <c r="P215" s="16">
        <f t="shared" ca="1" si="279"/>
        <v>4</v>
      </c>
      <c r="Q215" s="17">
        <f t="shared" si="310"/>
        <v>6</v>
      </c>
      <c r="R215" s="18">
        <f t="shared" si="311"/>
        <v>45809</v>
      </c>
      <c r="S215" s="10">
        <f t="shared" si="295"/>
        <v>0.04</v>
      </c>
      <c r="T215" s="14">
        <f t="shared" ca="1" si="296"/>
        <v>11</v>
      </c>
      <c r="U215" s="5">
        <f t="shared" ca="1" si="297"/>
        <v>492686.8742497178</v>
      </c>
      <c r="V215" s="5">
        <f t="shared" ca="1" si="280"/>
        <v>-2387.0764773272972</v>
      </c>
      <c r="W215" s="5">
        <f t="shared" ca="1" si="281"/>
        <v>-1642.2895808323929</v>
      </c>
      <c r="X215" s="5">
        <f t="shared" ca="1" si="298"/>
        <v>-744.78689649490434</v>
      </c>
      <c r="Y215" s="5">
        <f t="shared" ca="1" si="299"/>
        <v>491942.08735322289</v>
      </c>
      <c r="Z215" s="199"/>
      <c r="AA215" s="16">
        <f t="shared" ca="1" si="287"/>
        <v>17</v>
      </c>
      <c r="AB215" s="508">
        <f t="shared" ca="1" si="282"/>
        <v>197</v>
      </c>
      <c r="AC215" s="16">
        <f t="shared" si="317"/>
        <v>17</v>
      </c>
      <c r="AD215" s="17">
        <f t="shared" si="312"/>
        <v>6</v>
      </c>
      <c r="AE215" s="18">
        <f t="shared" ca="1" si="313"/>
        <v>50406</v>
      </c>
      <c r="AF215" s="10">
        <f>IF(Dashboard!$R$24="Float",AF214+Dashboard!$R$24/12,AF214)</f>
        <v>0.06</v>
      </c>
      <c r="AG215" s="14">
        <f t="shared" si="300"/>
        <v>198</v>
      </c>
      <c r="AH215" s="5">
        <f t="shared" si="301"/>
        <v>0</v>
      </c>
      <c r="AI215" s="5">
        <f t="shared" si="284"/>
        <v>0</v>
      </c>
      <c r="AJ215" s="5">
        <f t="shared" si="285"/>
        <v>0</v>
      </c>
      <c r="AK215" s="5">
        <f t="shared" si="302"/>
        <v>0</v>
      </c>
      <c r="AL215" s="5">
        <f t="shared" si="303"/>
        <v>0</v>
      </c>
      <c r="AM215" s="199"/>
      <c r="AN215" s="16">
        <f t="shared" si="318"/>
        <v>18</v>
      </c>
      <c r="AO215" s="17">
        <f t="shared" si="314"/>
        <v>6</v>
      </c>
      <c r="AP215" s="18">
        <f t="shared" ca="1" si="315"/>
        <v>50406</v>
      </c>
      <c r="AQ215" s="10">
        <f>IF(Dashboard!$S$20="Float",AQ214+Dashboard!$T$20/12,AQ214)</f>
        <v>4.4999999999999998E-2</v>
      </c>
      <c r="AR215" s="14">
        <f t="shared" si="304"/>
        <v>198</v>
      </c>
      <c r="AS215" s="5">
        <f t="shared" si="305"/>
        <v>2206452.2268121373</v>
      </c>
      <c r="AT215" s="5">
        <f t="shared" si="288"/>
        <v>-18117.071455543857</v>
      </c>
      <c r="AU215" s="5">
        <f t="shared" si="289"/>
        <v>-8274.195850545515</v>
      </c>
      <c r="AV215" s="5">
        <f t="shared" si="306"/>
        <v>-9842.8756049983422</v>
      </c>
      <c r="AW215" s="5">
        <f t="shared" si="307"/>
        <v>2196609.351207139</v>
      </c>
      <c r="AX215" s="199"/>
    </row>
    <row r="216" spans="1:50">
      <c r="A216" s="73"/>
      <c r="B216" s="572"/>
      <c r="C216" s="16">
        <f t="shared" si="316"/>
        <v>17</v>
      </c>
      <c r="D216" s="17">
        <f t="shared" si="308"/>
        <v>7</v>
      </c>
      <c r="E216" s="18">
        <f t="shared" ca="1" si="309"/>
        <v>50437</v>
      </c>
      <c r="F216" s="10">
        <f>IF(Dashboard!$Q$5="Float",F215+Dashboard!$R$5/12,F215)</f>
        <v>0.04</v>
      </c>
      <c r="G216" s="14">
        <f t="shared" si="290"/>
        <v>199</v>
      </c>
      <c r="H216" s="5">
        <f t="shared" si="291"/>
        <v>2238214.697637998</v>
      </c>
      <c r="I216" s="5">
        <f t="shared" si="276"/>
        <v>-17903.073579954718</v>
      </c>
      <c r="J216" s="5">
        <f t="shared" si="277"/>
        <v>-7460.7156587933268</v>
      </c>
      <c r="K216" s="5">
        <f t="shared" si="292"/>
        <v>-10442.357921161391</v>
      </c>
      <c r="L216" s="5">
        <f t="shared" si="293"/>
        <v>2227772.3397168368</v>
      </c>
      <c r="M216" s="199"/>
      <c r="N216" s="16">
        <f t="shared" ca="1" si="294"/>
        <v>4</v>
      </c>
      <c r="O216" s="508">
        <f t="shared" ca="1" si="278"/>
        <v>47</v>
      </c>
      <c r="P216" s="16">
        <f t="shared" ca="1" si="279"/>
        <v>4</v>
      </c>
      <c r="Q216" s="17">
        <f t="shared" si="310"/>
        <v>7</v>
      </c>
      <c r="R216" s="18">
        <f t="shared" si="311"/>
        <v>45839</v>
      </c>
      <c r="S216" s="10">
        <f t="shared" si="295"/>
        <v>0.04</v>
      </c>
      <c r="T216" s="14">
        <f t="shared" ca="1" si="296"/>
        <v>12</v>
      </c>
      <c r="U216" s="5">
        <f t="shared" ca="1" si="297"/>
        <v>491942.08735322289</v>
      </c>
      <c r="V216" s="5">
        <f t="shared" ca="1" si="280"/>
        <v>-2387.0764773272972</v>
      </c>
      <c r="W216" s="5">
        <f t="shared" ca="1" si="281"/>
        <v>-1639.8069578440764</v>
      </c>
      <c r="X216" s="5">
        <f t="shared" ca="1" si="298"/>
        <v>-747.26951948322085</v>
      </c>
      <c r="Y216" s="5">
        <f t="shared" ca="1" si="299"/>
        <v>491194.81783373968</v>
      </c>
      <c r="Z216" s="199"/>
      <c r="AA216" s="16">
        <f t="shared" ca="1" si="287"/>
        <v>17</v>
      </c>
      <c r="AB216" s="508">
        <f t="shared" ca="1" si="282"/>
        <v>198</v>
      </c>
      <c r="AC216" s="16">
        <f t="shared" si="317"/>
        <v>17</v>
      </c>
      <c r="AD216" s="17">
        <f t="shared" si="312"/>
        <v>7</v>
      </c>
      <c r="AE216" s="18">
        <f t="shared" ca="1" si="313"/>
        <v>50437</v>
      </c>
      <c r="AF216" s="10">
        <f>IF(Dashboard!$R$24="Float",AF215+Dashboard!$R$24/12,AF215)</f>
        <v>0.06</v>
      </c>
      <c r="AG216" s="14">
        <f t="shared" si="300"/>
        <v>199</v>
      </c>
      <c r="AH216" s="5">
        <f t="shared" si="301"/>
        <v>0</v>
      </c>
      <c r="AI216" s="5">
        <f t="shared" si="284"/>
        <v>0</v>
      </c>
      <c r="AJ216" s="5">
        <f t="shared" si="285"/>
        <v>0</v>
      </c>
      <c r="AK216" s="5">
        <f t="shared" si="302"/>
        <v>0</v>
      </c>
      <c r="AL216" s="5">
        <f t="shared" si="303"/>
        <v>0</v>
      </c>
      <c r="AM216" s="199"/>
      <c r="AN216" s="16">
        <f t="shared" si="318"/>
        <v>18</v>
      </c>
      <c r="AO216" s="17">
        <f t="shared" si="314"/>
        <v>7</v>
      </c>
      <c r="AP216" s="18">
        <f t="shared" ca="1" si="315"/>
        <v>50437</v>
      </c>
      <c r="AQ216" s="10">
        <f>IF(Dashboard!$S$20="Float",AQ215+Dashboard!$T$20/12,AQ215)</f>
        <v>4.4999999999999998E-2</v>
      </c>
      <c r="AR216" s="14">
        <f t="shared" si="304"/>
        <v>199</v>
      </c>
      <c r="AS216" s="5">
        <f t="shared" si="305"/>
        <v>2196609.351207139</v>
      </c>
      <c r="AT216" s="5">
        <f t="shared" si="288"/>
        <v>-18117.071455543861</v>
      </c>
      <c r="AU216" s="5">
        <f t="shared" si="289"/>
        <v>-8237.2850670267708</v>
      </c>
      <c r="AV216" s="5">
        <f t="shared" si="306"/>
        <v>-9879.78638851709</v>
      </c>
      <c r="AW216" s="5">
        <f t="shared" si="307"/>
        <v>2186729.5648186221</v>
      </c>
      <c r="AX216" s="199"/>
    </row>
    <row r="217" spans="1:50">
      <c r="A217" s="73"/>
      <c r="B217" s="572"/>
      <c r="C217" s="16">
        <f t="shared" si="316"/>
        <v>17</v>
      </c>
      <c r="D217" s="17">
        <f t="shared" si="308"/>
        <v>8</v>
      </c>
      <c r="E217" s="18">
        <f t="shared" ca="1" si="309"/>
        <v>50465</v>
      </c>
      <c r="F217" s="10">
        <f>IF(Dashboard!$Q$5="Float",F216+Dashboard!$R$5/12,F216)</f>
        <v>0.04</v>
      </c>
      <c r="G217" s="14">
        <f t="shared" si="290"/>
        <v>200</v>
      </c>
      <c r="H217" s="5">
        <f t="shared" si="291"/>
        <v>2227772.3397168368</v>
      </c>
      <c r="I217" s="5">
        <f t="shared" si="276"/>
        <v>-17903.073579954715</v>
      </c>
      <c r="J217" s="5">
        <f t="shared" si="277"/>
        <v>-7425.9077990561227</v>
      </c>
      <c r="K217" s="5">
        <f t="shared" si="292"/>
        <v>-10477.165780898591</v>
      </c>
      <c r="L217" s="5">
        <f t="shared" si="293"/>
        <v>2217295.1739359382</v>
      </c>
      <c r="M217" s="199"/>
      <c r="N217" s="16">
        <f t="shared" ca="1" si="294"/>
        <v>4</v>
      </c>
      <c r="O217" s="508">
        <f t="shared" ca="1" si="278"/>
        <v>48</v>
      </c>
      <c r="P217" s="16">
        <f t="shared" ca="1" si="279"/>
        <v>5</v>
      </c>
      <c r="Q217" s="17">
        <f t="shared" si="310"/>
        <v>8</v>
      </c>
      <c r="R217" s="18">
        <f t="shared" si="311"/>
        <v>45870</v>
      </c>
      <c r="S217" s="10">
        <f t="shared" si="295"/>
        <v>0.04</v>
      </c>
      <c r="T217" s="14">
        <f t="shared" ca="1" si="296"/>
        <v>13</v>
      </c>
      <c r="U217" s="5">
        <f t="shared" ca="1" si="297"/>
        <v>491194.81783373968</v>
      </c>
      <c r="V217" s="5">
        <f t="shared" ca="1" si="280"/>
        <v>-2387.0764773272972</v>
      </c>
      <c r="W217" s="5">
        <f t="shared" ca="1" si="281"/>
        <v>-1637.3160594457988</v>
      </c>
      <c r="X217" s="5">
        <f t="shared" ca="1" si="298"/>
        <v>-749.76041788149837</v>
      </c>
      <c r="Y217" s="5">
        <f t="shared" ca="1" si="299"/>
        <v>490445.0574158582</v>
      </c>
      <c r="Z217" s="199"/>
      <c r="AA217" s="16">
        <f t="shared" ca="1" si="287"/>
        <v>17</v>
      </c>
      <c r="AB217" s="508">
        <f t="shared" ca="1" si="282"/>
        <v>199</v>
      </c>
      <c r="AC217" s="16">
        <f t="shared" si="317"/>
        <v>17</v>
      </c>
      <c r="AD217" s="17">
        <f t="shared" si="312"/>
        <v>8</v>
      </c>
      <c r="AE217" s="18">
        <f t="shared" ca="1" si="313"/>
        <v>50465</v>
      </c>
      <c r="AF217" s="10">
        <f>IF(Dashboard!$R$24="Float",AF216+Dashboard!$R$24/12,AF216)</f>
        <v>0.06</v>
      </c>
      <c r="AG217" s="14">
        <f t="shared" si="300"/>
        <v>200</v>
      </c>
      <c r="AH217" s="5">
        <f t="shared" si="301"/>
        <v>0</v>
      </c>
      <c r="AI217" s="5">
        <f t="shared" si="284"/>
        <v>0</v>
      </c>
      <c r="AJ217" s="5">
        <f t="shared" si="285"/>
        <v>0</v>
      </c>
      <c r="AK217" s="5">
        <f t="shared" si="302"/>
        <v>0</v>
      </c>
      <c r="AL217" s="5">
        <f t="shared" si="303"/>
        <v>0</v>
      </c>
      <c r="AM217" s="199"/>
      <c r="AN217" s="16">
        <f t="shared" si="318"/>
        <v>18</v>
      </c>
      <c r="AO217" s="17">
        <f t="shared" si="314"/>
        <v>8</v>
      </c>
      <c r="AP217" s="18">
        <f t="shared" ca="1" si="315"/>
        <v>50465</v>
      </c>
      <c r="AQ217" s="10">
        <f>IF(Dashboard!$S$20="Float",AQ216+Dashboard!$T$20/12,AQ216)</f>
        <v>4.4999999999999998E-2</v>
      </c>
      <c r="AR217" s="14">
        <f t="shared" si="304"/>
        <v>200</v>
      </c>
      <c r="AS217" s="5">
        <f t="shared" si="305"/>
        <v>2186729.5648186221</v>
      </c>
      <c r="AT217" s="5">
        <f t="shared" si="288"/>
        <v>-18117.071455543861</v>
      </c>
      <c r="AU217" s="5">
        <f t="shared" si="289"/>
        <v>-8200.2358680698326</v>
      </c>
      <c r="AV217" s="5">
        <f t="shared" si="306"/>
        <v>-9916.8355874740282</v>
      </c>
      <c r="AW217" s="5">
        <f t="shared" si="307"/>
        <v>2176812.729231148</v>
      </c>
      <c r="AX217" s="199"/>
    </row>
    <row r="218" spans="1:50">
      <c r="A218" s="73"/>
      <c r="B218" s="572"/>
      <c r="C218" s="16">
        <f t="shared" si="316"/>
        <v>17</v>
      </c>
      <c r="D218" s="17">
        <f t="shared" si="308"/>
        <v>9</v>
      </c>
      <c r="E218" s="18">
        <f t="shared" ca="1" si="309"/>
        <v>50496</v>
      </c>
      <c r="F218" s="10">
        <f>IF(Dashboard!$Q$5="Float",F217+Dashboard!$R$5/12,F217)</f>
        <v>0.04</v>
      </c>
      <c r="G218" s="14">
        <f t="shared" si="290"/>
        <v>201</v>
      </c>
      <c r="H218" s="5">
        <f t="shared" si="291"/>
        <v>2217295.1739359382</v>
      </c>
      <c r="I218" s="5">
        <f t="shared" si="276"/>
        <v>-17903.073579954718</v>
      </c>
      <c r="J218" s="5">
        <f t="shared" si="277"/>
        <v>-7390.9839131197941</v>
      </c>
      <c r="K218" s="5">
        <f t="shared" si="292"/>
        <v>-10512.089666834923</v>
      </c>
      <c r="L218" s="5">
        <f t="shared" si="293"/>
        <v>2206783.0842691031</v>
      </c>
      <c r="M218" s="199"/>
      <c r="N218" s="16">
        <f t="shared" ca="1" si="294"/>
        <v>5</v>
      </c>
      <c r="O218" s="508">
        <f t="shared" ca="1" si="278"/>
        <v>49</v>
      </c>
      <c r="P218" s="16">
        <f t="shared" ca="1" si="279"/>
        <v>5</v>
      </c>
      <c r="Q218" s="17">
        <f t="shared" si="310"/>
        <v>9</v>
      </c>
      <c r="R218" s="18">
        <f t="shared" si="311"/>
        <v>45901</v>
      </c>
      <c r="S218" s="10">
        <f t="shared" si="295"/>
        <v>0.04</v>
      </c>
      <c r="T218" s="14">
        <f t="shared" ca="1" si="296"/>
        <v>14</v>
      </c>
      <c r="U218" s="5">
        <f t="shared" ca="1" si="297"/>
        <v>490445.0574158582</v>
      </c>
      <c r="V218" s="5">
        <f t="shared" ca="1" si="280"/>
        <v>-2387.0764773272972</v>
      </c>
      <c r="W218" s="5">
        <f t="shared" ca="1" si="281"/>
        <v>-1634.8168580528607</v>
      </c>
      <c r="X218" s="5">
        <f t="shared" ca="1" si="298"/>
        <v>-752.25961927443655</v>
      </c>
      <c r="Y218" s="5">
        <f t="shared" ca="1" si="299"/>
        <v>489692.79779658379</v>
      </c>
      <c r="Z218" s="199"/>
      <c r="AA218" s="16">
        <f t="shared" ca="1" si="287"/>
        <v>17</v>
      </c>
      <c r="AB218" s="508">
        <f t="shared" ca="1" si="282"/>
        <v>200</v>
      </c>
      <c r="AC218" s="16">
        <f t="shared" si="317"/>
        <v>17</v>
      </c>
      <c r="AD218" s="17">
        <f t="shared" si="312"/>
        <v>9</v>
      </c>
      <c r="AE218" s="18">
        <f t="shared" ca="1" si="313"/>
        <v>50496</v>
      </c>
      <c r="AF218" s="10">
        <f>IF(Dashboard!$R$24="Float",AF217+Dashboard!$R$24/12,AF217)</f>
        <v>0.06</v>
      </c>
      <c r="AG218" s="14">
        <f t="shared" si="300"/>
        <v>201</v>
      </c>
      <c r="AH218" s="5">
        <f t="shared" si="301"/>
        <v>0</v>
      </c>
      <c r="AI218" s="5">
        <f t="shared" si="284"/>
        <v>0</v>
      </c>
      <c r="AJ218" s="5">
        <f t="shared" si="285"/>
        <v>0</v>
      </c>
      <c r="AK218" s="5">
        <f t="shared" si="302"/>
        <v>0</v>
      </c>
      <c r="AL218" s="5">
        <f t="shared" si="303"/>
        <v>0</v>
      </c>
      <c r="AM218" s="199"/>
      <c r="AN218" s="16">
        <f t="shared" si="318"/>
        <v>18</v>
      </c>
      <c r="AO218" s="17">
        <f t="shared" si="314"/>
        <v>9</v>
      </c>
      <c r="AP218" s="18">
        <f t="shared" ca="1" si="315"/>
        <v>50496</v>
      </c>
      <c r="AQ218" s="10">
        <f>IF(Dashboard!$S$20="Float",AQ217+Dashboard!$T$20/12,AQ217)</f>
        <v>4.4999999999999998E-2</v>
      </c>
      <c r="AR218" s="14">
        <f t="shared" si="304"/>
        <v>201</v>
      </c>
      <c r="AS218" s="5">
        <f t="shared" si="305"/>
        <v>2176812.729231148</v>
      </c>
      <c r="AT218" s="5">
        <f t="shared" si="288"/>
        <v>-18117.071455543857</v>
      </c>
      <c r="AU218" s="5">
        <f t="shared" si="289"/>
        <v>-8163.0477346168045</v>
      </c>
      <c r="AV218" s="5">
        <f t="shared" si="306"/>
        <v>-9954.0237209270526</v>
      </c>
      <c r="AW218" s="5">
        <f t="shared" si="307"/>
        <v>2166858.705510221</v>
      </c>
      <c r="AX218" s="199"/>
    </row>
    <row r="219" spans="1:50">
      <c r="A219" s="73"/>
      <c r="B219" s="572"/>
      <c r="C219" s="16">
        <f t="shared" si="316"/>
        <v>17</v>
      </c>
      <c r="D219" s="17">
        <f t="shared" si="308"/>
        <v>10</v>
      </c>
      <c r="E219" s="18">
        <f t="shared" ca="1" si="309"/>
        <v>50526</v>
      </c>
      <c r="F219" s="10">
        <f>IF(Dashboard!$Q$5="Float",F218+Dashboard!$R$5/12,F218)</f>
        <v>0.04</v>
      </c>
      <c r="G219" s="14">
        <f t="shared" si="290"/>
        <v>202</v>
      </c>
      <c r="H219" s="5">
        <f t="shared" si="291"/>
        <v>2206783.0842691031</v>
      </c>
      <c r="I219" s="5">
        <f t="shared" si="276"/>
        <v>-17903.073579954715</v>
      </c>
      <c r="J219" s="5">
        <f t="shared" si="277"/>
        <v>-7355.9436142303448</v>
      </c>
      <c r="K219" s="5">
        <f t="shared" si="292"/>
        <v>-10547.129965724369</v>
      </c>
      <c r="L219" s="5">
        <f t="shared" si="293"/>
        <v>2196235.9543033787</v>
      </c>
      <c r="M219" s="199"/>
      <c r="N219" s="16">
        <f t="shared" ca="1" si="294"/>
        <v>5</v>
      </c>
      <c r="O219" s="508">
        <f t="shared" ca="1" si="278"/>
        <v>50</v>
      </c>
      <c r="P219" s="16">
        <f t="shared" ca="1" si="279"/>
        <v>5</v>
      </c>
      <c r="Q219" s="17">
        <f t="shared" si="310"/>
        <v>10</v>
      </c>
      <c r="R219" s="18">
        <f t="shared" si="311"/>
        <v>45931</v>
      </c>
      <c r="S219" s="10">
        <f t="shared" si="295"/>
        <v>0.04</v>
      </c>
      <c r="T219" s="14">
        <f t="shared" ca="1" si="296"/>
        <v>15</v>
      </c>
      <c r="U219" s="5">
        <f t="shared" ca="1" si="297"/>
        <v>489692.79779658379</v>
      </c>
      <c r="V219" s="5">
        <f t="shared" ca="1" si="280"/>
        <v>-2387.0764773272972</v>
      </c>
      <c r="W219" s="5">
        <f t="shared" ca="1" si="281"/>
        <v>-1632.3093259886127</v>
      </c>
      <c r="X219" s="5">
        <f t="shared" ca="1" si="298"/>
        <v>-754.76715133868447</v>
      </c>
      <c r="Y219" s="5">
        <f t="shared" ca="1" si="299"/>
        <v>488938.0306452451</v>
      </c>
      <c r="Z219" s="199"/>
      <c r="AA219" s="16">
        <f t="shared" ca="1" si="287"/>
        <v>17</v>
      </c>
      <c r="AB219" s="508">
        <f t="shared" ca="1" si="282"/>
        <v>201</v>
      </c>
      <c r="AC219" s="16">
        <f t="shared" si="317"/>
        <v>17</v>
      </c>
      <c r="AD219" s="17">
        <f t="shared" si="312"/>
        <v>10</v>
      </c>
      <c r="AE219" s="18">
        <f t="shared" ca="1" si="313"/>
        <v>50526</v>
      </c>
      <c r="AF219" s="10">
        <f>IF(Dashboard!$R$24="Float",AF218+Dashboard!$R$24/12,AF218)</f>
        <v>0.06</v>
      </c>
      <c r="AG219" s="14">
        <f t="shared" si="300"/>
        <v>202</v>
      </c>
      <c r="AH219" s="5">
        <f t="shared" si="301"/>
        <v>0</v>
      </c>
      <c r="AI219" s="5">
        <f t="shared" si="284"/>
        <v>0</v>
      </c>
      <c r="AJ219" s="5">
        <f t="shared" si="285"/>
        <v>0</v>
      </c>
      <c r="AK219" s="5">
        <f t="shared" si="302"/>
        <v>0</v>
      </c>
      <c r="AL219" s="5">
        <f t="shared" si="303"/>
        <v>0</v>
      </c>
      <c r="AM219" s="199"/>
      <c r="AN219" s="16">
        <f t="shared" si="318"/>
        <v>18</v>
      </c>
      <c r="AO219" s="17">
        <f t="shared" si="314"/>
        <v>10</v>
      </c>
      <c r="AP219" s="18">
        <f t="shared" ca="1" si="315"/>
        <v>50526</v>
      </c>
      <c r="AQ219" s="10">
        <f>IF(Dashboard!$S$20="Float",AQ218+Dashboard!$T$20/12,AQ218)</f>
        <v>4.4999999999999998E-2</v>
      </c>
      <c r="AR219" s="14">
        <f t="shared" si="304"/>
        <v>202</v>
      </c>
      <c r="AS219" s="5">
        <f t="shared" si="305"/>
        <v>2166858.705510221</v>
      </c>
      <c r="AT219" s="5">
        <f t="shared" si="288"/>
        <v>-18117.071455543857</v>
      </c>
      <c r="AU219" s="5">
        <f t="shared" si="289"/>
        <v>-8125.7201456633275</v>
      </c>
      <c r="AV219" s="5">
        <f t="shared" si="306"/>
        <v>-9991.3513098805306</v>
      </c>
      <c r="AW219" s="5">
        <f t="shared" si="307"/>
        <v>2156867.3542003403</v>
      </c>
      <c r="AX219" s="199"/>
    </row>
    <row r="220" spans="1:50">
      <c r="A220" s="73"/>
      <c r="B220" s="572"/>
      <c r="C220" s="16">
        <f t="shared" si="316"/>
        <v>17</v>
      </c>
      <c r="D220" s="17">
        <f t="shared" si="308"/>
        <v>11</v>
      </c>
      <c r="E220" s="18">
        <f t="shared" ca="1" si="309"/>
        <v>50557</v>
      </c>
      <c r="F220" s="10">
        <f>IF(Dashboard!$Q$5="Float",F219+Dashboard!$R$5/12,F219)</f>
        <v>0.04</v>
      </c>
      <c r="G220" s="14">
        <f t="shared" si="290"/>
        <v>203</v>
      </c>
      <c r="H220" s="5">
        <f t="shared" si="291"/>
        <v>2196235.9543033787</v>
      </c>
      <c r="I220" s="5">
        <f t="shared" si="276"/>
        <v>-17903.073579954711</v>
      </c>
      <c r="J220" s="5">
        <f t="shared" si="277"/>
        <v>-7320.7865143445961</v>
      </c>
      <c r="K220" s="5">
        <f t="shared" si="292"/>
        <v>-10582.287065610115</v>
      </c>
      <c r="L220" s="5">
        <f t="shared" si="293"/>
        <v>2185653.6672377684</v>
      </c>
      <c r="M220" s="199"/>
      <c r="N220" s="16">
        <f t="shared" ca="1" si="294"/>
        <v>5</v>
      </c>
      <c r="O220" s="508">
        <f t="shared" ca="1" si="278"/>
        <v>51</v>
      </c>
      <c r="P220" s="16">
        <f t="shared" ca="1" si="279"/>
        <v>5</v>
      </c>
      <c r="Q220" s="17">
        <f t="shared" si="310"/>
        <v>11</v>
      </c>
      <c r="R220" s="18">
        <f t="shared" si="311"/>
        <v>45962</v>
      </c>
      <c r="S220" s="10">
        <f t="shared" si="295"/>
        <v>0.04</v>
      </c>
      <c r="T220" s="14">
        <f t="shared" ca="1" si="296"/>
        <v>16</v>
      </c>
      <c r="U220" s="5">
        <f t="shared" ca="1" si="297"/>
        <v>488938.0306452451</v>
      </c>
      <c r="V220" s="5">
        <f t="shared" ca="1" si="280"/>
        <v>-2387.0764773272977</v>
      </c>
      <c r="W220" s="5">
        <f t="shared" ca="1" si="281"/>
        <v>-1629.7934354841502</v>
      </c>
      <c r="X220" s="5">
        <f t="shared" ca="1" si="298"/>
        <v>-757.28304184314743</v>
      </c>
      <c r="Y220" s="5">
        <f t="shared" ca="1" si="299"/>
        <v>488180.74760340195</v>
      </c>
      <c r="Z220" s="199"/>
      <c r="AA220" s="16">
        <f t="shared" ca="1" si="287"/>
        <v>17</v>
      </c>
      <c r="AB220" s="508">
        <f t="shared" ca="1" si="282"/>
        <v>202</v>
      </c>
      <c r="AC220" s="16">
        <f t="shared" si="317"/>
        <v>17</v>
      </c>
      <c r="AD220" s="17">
        <f t="shared" si="312"/>
        <v>11</v>
      </c>
      <c r="AE220" s="18">
        <f t="shared" ca="1" si="313"/>
        <v>50557</v>
      </c>
      <c r="AF220" s="10">
        <f>IF(Dashboard!$R$24="Float",AF219+Dashboard!$R$24/12,AF219)</f>
        <v>0.06</v>
      </c>
      <c r="AG220" s="14">
        <f t="shared" si="300"/>
        <v>203</v>
      </c>
      <c r="AH220" s="5">
        <f t="shared" si="301"/>
        <v>0</v>
      </c>
      <c r="AI220" s="5">
        <f t="shared" si="284"/>
        <v>0</v>
      </c>
      <c r="AJ220" s="5">
        <f t="shared" si="285"/>
        <v>0</v>
      </c>
      <c r="AK220" s="5">
        <f t="shared" si="302"/>
        <v>0</v>
      </c>
      <c r="AL220" s="5">
        <f t="shared" si="303"/>
        <v>0</v>
      </c>
      <c r="AM220" s="199"/>
      <c r="AN220" s="16">
        <f t="shared" si="318"/>
        <v>18</v>
      </c>
      <c r="AO220" s="17">
        <f t="shared" si="314"/>
        <v>11</v>
      </c>
      <c r="AP220" s="18">
        <f t="shared" ca="1" si="315"/>
        <v>50557</v>
      </c>
      <c r="AQ220" s="10">
        <f>IF(Dashboard!$S$20="Float",AQ219+Dashboard!$T$20/12,AQ219)</f>
        <v>4.4999999999999998E-2</v>
      </c>
      <c r="AR220" s="14">
        <f t="shared" si="304"/>
        <v>203</v>
      </c>
      <c r="AS220" s="5">
        <f t="shared" si="305"/>
        <v>2156867.3542003403</v>
      </c>
      <c r="AT220" s="5">
        <f t="shared" si="288"/>
        <v>-18117.071455543861</v>
      </c>
      <c r="AU220" s="5">
        <f t="shared" si="289"/>
        <v>-8088.2525782512757</v>
      </c>
      <c r="AV220" s="5">
        <f t="shared" si="306"/>
        <v>-10028.818877292586</v>
      </c>
      <c r="AW220" s="5">
        <f t="shared" si="307"/>
        <v>2146838.5353230475</v>
      </c>
      <c r="AX220" s="199"/>
    </row>
    <row r="221" spans="1:50">
      <c r="A221" s="73"/>
      <c r="B221" s="572"/>
      <c r="C221" s="16">
        <f t="shared" si="316"/>
        <v>17</v>
      </c>
      <c r="D221" s="17">
        <f t="shared" si="308"/>
        <v>12</v>
      </c>
      <c r="E221" s="18">
        <f t="shared" ca="1" si="309"/>
        <v>50587</v>
      </c>
      <c r="F221" s="10">
        <f>IF(Dashboard!$Q$5="Float",F220+Dashboard!$R$5/12,F220)</f>
        <v>0.04</v>
      </c>
      <c r="G221" s="14">
        <f t="shared" si="290"/>
        <v>204</v>
      </c>
      <c r="H221" s="5">
        <f t="shared" si="291"/>
        <v>2185653.6672377684</v>
      </c>
      <c r="I221" s="5">
        <f t="shared" si="276"/>
        <v>-17903.073579954715</v>
      </c>
      <c r="J221" s="5">
        <f t="shared" si="277"/>
        <v>-7285.512224125895</v>
      </c>
      <c r="K221" s="5">
        <f t="shared" si="292"/>
        <v>-10617.561355828821</v>
      </c>
      <c r="L221" s="5">
        <f t="shared" si="293"/>
        <v>2175036.1058819396</v>
      </c>
      <c r="M221" s="199"/>
      <c r="N221" s="16">
        <f t="shared" ca="1" si="294"/>
        <v>5</v>
      </c>
      <c r="O221" s="508">
        <f t="shared" ca="1" si="278"/>
        <v>52</v>
      </c>
      <c r="P221" s="16">
        <f t="shared" ca="1" si="279"/>
        <v>5</v>
      </c>
      <c r="Q221" s="17">
        <f t="shared" si="310"/>
        <v>12</v>
      </c>
      <c r="R221" s="18">
        <f t="shared" si="311"/>
        <v>45992</v>
      </c>
      <c r="S221" s="10">
        <f t="shared" si="295"/>
        <v>0.04</v>
      </c>
      <c r="T221" s="14">
        <f t="shared" ca="1" si="296"/>
        <v>17</v>
      </c>
      <c r="U221" s="5">
        <f t="shared" ca="1" si="297"/>
        <v>488180.74760340195</v>
      </c>
      <c r="V221" s="5">
        <f t="shared" ca="1" si="280"/>
        <v>-2387.0764773272972</v>
      </c>
      <c r="W221" s="5">
        <f t="shared" ca="1" si="281"/>
        <v>-1627.2691586780065</v>
      </c>
      <c r="X221" s="5">
        <f t="shared" ca="1" si="298"/>
        <v>-759.80731864929066</v>
      </c>
      <c r="Y221" s="5">
        <f t="shared" ca="1" si="299"/>
        <v>487420.94028475264</v>
      </c>
      <c r="Z221" s="199"/>
      <c r="AA221" s="16">
        <f t="shared" ca="1" si="287"/>
        <v>17</v>
      </c>
      <c r="AB221" s="508">
        <f t="shared" ca="1" si="282"/>
        <v>203</v>
      </c>
      <c r="AC221" s="16">
        <f t="shared" si="317"/>
        <v>17</v>
      </c>
      <c r="AD221" s="17">
        <f t="shared" si="312"/>
        <v>12</v>
      </c>
      <c r="AE221" s="18">
        <f t="shared" ca="1" si="313"/>
        <v>50587</v>
      </c>
      <c r="AF221" s="10">
        <f>IF(Dashboard!$R$24="Float",AF220+Dashboard!$R$24/12,AF220)</f>
        <v>0.06</v>
      </c>
      <c r="AG221" s="14">
        <f t="shared" si="300"/>
        <v>204</v>
      </c>
      <c r="AH221" s="5">
        <f t="shared" si="301"/>
        <v>0</v>
      </c>
      <c r="AI221" s="5">
        <f t="shared" si="284"/>
        <v>0</v>
      </c>
      <c r="AJ221" s="5">
        <f t="shared" si="285"/>
        <v>0</v>
      </c>
      <c r="AK221" s="5">
        <f t="shared" si="302"/>
        <v>0</v>
      </c>
      <c r="AL221" s="5">
        <f t="shared" si="303"/>
        <v>0</v>
      </c>
      <c r="AM221" s="199"/>
      <c r="AN221" s="16">
        <f t="shared" si="318"/>
        <v>18</v>
      </c>
      <c r="AO221" s="17">
        <f t="shared" si="314"/>
        <v>12</v>
      </c>
      <c r="AP221" s="18">
        <f t="shared" ca="1" si="315"/>
        <v>50587</v>
      </c>
      <c r="AQ221" s="10">
        <f>IF(Dashboard!$S$20="Float",AQ220+Dashboard!$T$20/12,AQ220)</f>
        <v>4.4999999999999998E-2</v>
      </c>
      <c r="AR221" s="14">
        <f t="shared" si="304"/>
        <v>204</v>
      </c>
      <c r="AS221" s="5">
        <f t="shared" si="305"/>
        <v>2146838.5353230475</v>
      </c>
      <c r="AT221" s="5">
        <f t="shared" si="288"/>
        <v>-18117.071455543857</v>
      </c>
      <c r="AU221" s="5">
        <f t="shared" si="289"/>
        <v>-8050.6445074614276</v>
      </c>
      <c r="AV221" s="5">
        <f t="shared" si="306"/>
        <v>-10066.42694808243</v>
      </c>
      <c r="AW221" s="5">
        <f t="shared" si="307"/>
        <v>2136772.1083749649</v>
      </c>
      <c r="AX221" s="199"/>
    </row>
    <row r="222" spans="1:50" ht="12.75" customHeight="1">
      <c r="A222" s="73"/>
      <c r="B222" s="570">
        <f>+C222</f>
        <v>18</v>
      </c>
      <c r="C222" s="200">
        <f t="shared" ref="C222" si="319">+C221+1</f>
        <v>18</v>
      </c>
      <c r="D222" s="201">
        <v>1</v>
      </c>
      <c r="E222" s="202">
        <f t="shared" ca="1" si="309"/>
        <v>50618</v>
      </c>
      <c r="F222" s="203">
        <f>IF(Dashboard!$Q$5="Float",F221+Dashboard!$R$5/12,F221)</f>
        <v>0.04</v>
      </c>
      <c r="G222" s="204">
        <f t="shared" si="290"/>
        <v>205</v>
      </c>
      <c r="H222" s="205">
        <f t="shared" si="291"/>
        <v>2175036.1058819396</v>
      </c>
      <c r="I222" s="205">
        <f t="shared" si="276"/>
        <v>-17903.073579954715</v>
      </c>
      <c r="J222" s="205">
        <f t="shared" si="277"/>
        <v>-7250.1203529397981</v>
      </c>
      <c r="K222" s="205">
        <f t="shared" si="292"/>
        <v>-10652.953227014918</v>
      </c>
      <c r="L222" s="205">
        <f t="shared" si="293"/>
        <v>2164383.1526549249</v>
      </c>
      <c r="M222" s="199"/>
      <c r="N222" s="200">
        <f t="shared" ca="1" si="294"/>
        <v>5</v>
      </c>
      <c r="O222" s="509">
        <f t="shared" ca="1" si="278"/>
        <v>53</v>
      </c>
      <c r="P222" s="200">
        <f t="shared" ca="1" si="279"/>
        <v>5</v>
      </c>
      <c r="Q222" s="201">
        <v>1</v>
      </c>
      <c r="R222" s="202">
        <f t="shared" si="311"/>
        <v>46023</v>
      </c>
      <c r="S222" s="203">
        <f t="shared" si="295"/>
        <v>0.04</v>
      </c>
      <c r="T222" s="204">
        <f t="shared" ca="1" si="296"/>
        <v>18</v>
      </c>
      <c r="U222" s="205">
        <f t="shared" ca="1" si="297"/>
        <v>487420.94028475264</v>
      </c>
      <c r="V222" s="205">
        <f t="shared" ca="1" si="280"/>
        <v>-2387.0764773272977</v>
      </c>
      <c r="W222" s="205">
        <f t="shared" ca="1" si="281"/>
        <v>-1624.7364676158422</v>
      </c>
      <c r="X222" s="205">
        <f t="shared" ca="1" si="298"/>
        <v>-762.34000971145542</v>
      </c>
      <c r="Y222" s="205">
        <f t="shared" ca="1" si="299"/>
        <v>486658.60027504119</v>
      </c>
      <c r="Z222" s="199"/>
      <c r="AA222" s="200">
        <f t="shared" ca="1" si="287"/>
        <v>17</v>
      </c>
      <c r="AB222" s="509">
        <f t="shared" ca="1" si="282"/>
        <v>204</v>
      </c>
      <c r="AC222" s="200">
        <f t="shared" ref="AC222" si="320">+AC221+1</f>
        <v>18</v>
      </c>
      <c r="AD222" s="201">
        <v>1</v>
      </c>
      <c r="AE222" s="202">
        <f t="shared" ca="1" si="313"/>
        <v>50618</v>
      </c>
      <c r="AF222" s="203">
        <f>IF(Dashboard!$R$24="Float",AF221+Dashboard!$R$24/12,AF221)</f>
        <v>0.06</v>
      </c>
      <c r="AG222" s="204">
        <f t="shared" si="300"/>
        <v>205</v>
      </c>
      <c r="AH222" s="205">
        <f t="shared" si="301"/>
        <v>0</v>
      </c>
      <c r="AI222" s="205">
        <f t="shared" si="284"/>
        <v>0</v>
      </c>
      <c r="AJ222" s="205">
        <f t="shared" si="285"/>
        <v>0</v>
      </c>
      <c r="AK222" s="205">
        <f t="shared" si="302"/>
        <v>0</v>
      </c>
      <c r="AL222" s="205">
        <f t="shared" si="303"/>
        <v>0</v>
      </c>
      <c r="AM222" s="199"/>
      <c r="AN222" s="200">
        <f t="shared" ref="AN222" si="321">+AN221+1</f>
        <v>19</v>
      </c>
      <c r="AO222" s="201">
        <v>1</v>
      </c>
      <c r="AP222" s="202">
        <f t="shared" ca="1" si="315"/>
        <v>50618</v>
      </c>
      <c r="AQ222" s="203">
        <f>IF(Dashboard!$S$20="Float",AQ221+Dashboard!$T$20/12,AQ221)</f>
        <v>4.4999999999999998E-2</v>
      </c>
      <c r="AR222" s="204">
        <f t="shared" si="304"/>
        <v>205</v>
      </c>
      <c r="AS222" s="205">
        <f t="shared" si="305"/>
        <v>2136772.1083749649</v>
      </c>
      <c r="AT222" s="205">
        <f t="shared" si="288"/>
        <v>-18117.07145554385</v>
      </c>
      <c r="AU222" s="205">
        <f t="shared" si="289"/>
        <v>-8012.8954064061181</v>
      </c>
      <c r="AV222" s="205">
        <f t="shared" si="306"/>
        <v>-10104.176049137732</v>
      </c>
      <c r="AW222" s="205">
        <f t="shared" si="307"/>
        <v>2126667.932325827</v>
      </c>
      <c r="AX222" s="199"/>
    </row>
    <row r="223" spans="1:50">
      <c r="A223" s="73"/>
      <c r="B223" s="570"/>
      <c r="C223" s="200">
        <f>+C222</f>
        <v>18</v>
      </c>
      <c r="D223" s="201">
        <f>+D222+1</f>
        <v>2</v>
      </c>
      <c r="E223" s="202">
        <f t="shared" ca="1" si="309"/>
        <v>50649</v>
      </c>
      <c r="F223" s="203">
        <f>IF(Dashboard!$Q$5="Float",F222+Dashboard!$R$5/12,F222)</f>
        <v>0.04</v>
      </c>
      <c r="G223" s="204">
        <f t="shared" si="290"/>
        <v>206</v>
      </c>
      <c r="H223" s="205">
        <f t="shared" si="291"/>
        <v>2164383.1526549249</v>
      </c>
      <c r="I223" s="205">
        <f t="shared" si="276"/>
        <v>-17903.073579954718</v>
      </c>
      <c r="J223" s="205">
        <f t="shared" si="277"/>
        <v>-7214.6105088497497</v>
      </c>
      <c r="K223" s="205">
        <f t="shared" si="292"/>
        <v>-10688.463071104969</v>
      </c>
      <c r="L223" s="205">
        <f t="shared" si="293"/>
        <v>2153694.6895838198</v>
      </c>
      <c r="M223" s="199"/>
      <c r="N223" s="200">
        <f t="shared" ca="1" si="294"/>
        <v>5</v>
      </c>
      <c r="O223" s="509">
        <f t="shared" ca="1" si="278"/>
        <v>54</v>
      </c>
      <c r="P223" s="200">
        <f t="shared" ca="1" si="279"/>
        <v>5</v>
      </c>
      <c r="Q223" s="201">
        <f>+Q222+1</f>
        <v>2</v>
      </c>
      <c r="R223" s="202">
        <f t="shared" si="311"/>
        <v>46054</v>
      </c>
      <c r="S223" s="203">
        <f t="shared" si="295"/>
        <v>0.04</v>
      </c>
      <c r="T223" s="204">
        <f t="shared" ca="1" si="296"/>
        <v>19</v>
      </c>
      <c r="U223" s="205">
        <f t="shared" ca="1" si="297"/>
        <v>486658.60027504119</v>
      </c>
      <c r="V223" s="205">
        <f t="shared" ca="1" si="280"/>
        <v>-2387.0764773272977</v>
      </c>
      <c r="W223" s="205">
        <f t="shared" ca="1" si="281"/>
        <v>-1622.1953342501374</v>
      </c>
      <c r="X223" s="205">
        <f t="shared" ca="1" si="298"/>
        <v>-764.88114307716023</v>
      </c>
      <c r="Y223" s="205">
        <f t="shared" ca="1" si="299"/>
        <v>485893.71913196403</v>
      </c>
      <c r="Z223" s="199"/>
      <c r="AA223" s="200">
        <f t="shared" ca="1" si="287"/>
        <v>18</v>
      </c>
      <c r="AB223" s="509">
        <f t="shared" ca="1" si="282"/>
        <v>205</v>
      </c>
      <c r="AC223" s="200">
        <f>+AC222</f>
        <v>18</v>
      </c>
      <c r="AD223" s="201">
        <f>+AD222+1</f>
        <v>2</v>
      </c>
      <c r="AE223" s="202">
        <f t="shared" ca="1" si="313"/>
        <v>50649</v>
      </c>
      <c r="AF223" s="203">
        <f>IF(Dashboard!$R$24="Float",AF222+Dashboard!$R$24/12,AF222)</f>
        <v>0.06</v>
      </c>
      <c r="AG223" s="204">
        <f t="shared" si="300"/>
        <v>206</v>
      </c>
      <c r="AH223" s="205">
        <f t="shared" si="301"/>
        <v>0</v>
      </c>
      <c r="AI223" s="205">
        <f t="shared" si="284"/>
        <v>0</v>
      </c>
      <c r="AJ223" s="205">
        <f t="shared" si="285"/>
        <v>0</v>
      </c>
      <c r="AK223" s="205">
        <f t="shared" si="302"/>
        <v>0</v>
      </c>
      <c r="AL223" s="205">
        <f t="shared" si="303"/>
        <v>0</v>
      </c>
      <c r="AM223" s="199"/>
      <c r="AN223" s="200">
        <f>+AN222</f>
        <v>19</v>
      </c>
      <c r="AO223" s="201">
        <f>+AO222+1</f>
        <v>2</v>
      </c>
      <c r="AP223" s="202">
        <f t="shared" ca="1" si="315"/>
        <v>50649</v>
      </c>
      <c r="AQ223" s="203">
        <f>IF(Dashboard!$S$20="Float",AQ222+Dashboard!$T$20/12,AQ222)</f>
        <v>4.4999999999999998E-2</v>
      </c>
      <c r="AR223" s="204">
        <f t="shared" si="304"/>
        <v>206</v>
      </c>
      <c r="AS223" s="205">
        <f t="shared" si="305"/>
        <v>2126667.932325827</v>
      </c>
      <c r="AT223" s="205">
        <f t="shared" si="288"/>
        <v>-18117.071455543854</v>
      </c>
      <c r="AU223" s="205">
        <f t="shared" si="289"/>
        <v>-7975.0047462218508</v>
      </c>
      <c r="AV223" s="205">
        <f t="shared" si="306"/>
        <v>-10142.066709322004</v>
      </c>
      <c r="AW223" s="205">
        <f t="shared" si="307"/>
        <v>2116525.865616505</v>
      </c>
      <c r="AX223" s="199"/>
    </row>
    <row r="224" spans="1:50">
      <c r="A224" s="73"/>
      <c r="B224" s="570"/>
      <c r="C224" s="200">
        <f>+C223</f>
        <v>18</v>
      </c>
      <c r="D224" s="201">
        <f>+D223+1</f>
        <v>3</v>
      </c>
      <c r="E224" s="202">
        <f t="shared" ca="1" si="309"/>
        <v>50679</v>
      </c>
      <c r="F224" s="203">
        <f>IF(Dashboard!$Q$5="Float",F223+Dashboard!$R$5/12,F223)</f>
        <v>0.04</v>
      </c>
      <c r="G224" s="204">
        <f t="shared" si="290"/>
        <v>207</v>
      </c>
      <c r="H224" s="205">
        <f t="shared" si="291"/>
        <v>2153694.6895838198</v>
      </c>
      <c r="I224" s="205">
        <f t="shared" si="276"/>
        <v>-17903.073579954715</v>
      </c>
      <c r="J224" s="205">
        <f t="shared" si="277"/>
        <v>-7178.9822986127328</v>
      </c>
      <c r="K224" s="205">
        <f t="shared" si="292"/>
        <v>-10724.091281341982</v>
      </c>
      <c r="L224" s="205">
        <f t="shared" si="293"/>
        <v>2142970.598302478</v>
      </c>
      <c r="M224" s="199"/>
      <c r="N224" s="200">
        <f t="shared" ca="1" si="294"/>
        <v>5</v>
      </c>
      <c r="O224" s="509">
        <f t="shared" ca="1" si="278"/>
        <v>55</v>
      </c>
      <c r="P224" s="200">
        <f t="shared" ca="1" si="279"/>
        <v>5</v>
      </c>
      <c r="Q224" s="201">
        <f>+Q223+1</f>
        <v>3</v>
      </c>
      <c r="R224" s="202">
        <f t="shared" si="311"/>
        <v>46082</v>
      </c>
      <c r="S224" s="203">
        <f t="shared" si="295"/>
        <v>0.04</v>
      </c>
      <c r="T224" s="204">
        <f t="shared" ca="1" si="296"/>
        <v>20</v>
      </c>
      <c r="U224" s="205">
        <f t="shared" ca="1" si="297"/>
        <v>485893.71913196403</v>
      </c>
      <c r="V224" s="205">
        <f t="shared" ca="1" si="280"/>
        <v>-2387.0764773272977</v>
      </c>
      <c r="W224" s="205">
        <f t="shared" ca="1" si="281"/>
        <v>-1619.64573043988</v>
      </c>
      <c r="X224" s="205">
        <f t="shared" ca="1" si="298"/>
        <v>-767.43074688741763</v>
      </c>
      <c r="Y224" s="205">
        <f t="shared" ca="1" si="299"/>
        <v>485126.28838507662</v>
      </c>
      <c r="Z224" s="199"/>
      <c r="AA224" s="200">
        <f t="shared" ca="1" si="287"/>
        <v>18</v>
      </c>
      <c r="AB224" s="509">
        <f t="shared" ca="1" si="282"/>
        <v>206</v>
      </c>
      <c r="AC224" s="200">
        <f>+AC223</f>
        <v>18</v>
      </c>
      <c r="AD224" s="201">
        <f>+AD223+1</f>
        <v>3</v>
      </c>
      <c r="AE224" s="202">
        <f t="shared" ca="1" si="313"/>
        <v>50679</v>
      </c>
      <c r="AF224" s="203">
        <f>IF(Dashboard!$R$24="Float",AF223+Dashboard!$R$24/12,AF223)</f>
        <v>0.06</v>
      </c>
      <c r="AG224" s="204">
        <f t="shared" si="300"/>
        <v>207</v>
      </c>
      <c r="AH224" s="205">
        <f t="shared" si="301"/>
        <v>0</v>
      </c>
      <c r="AI224" s="205">
        <f t="shared" si="284"/>
        <v>0</v>
      </c>
      <c r="AJ224" s="205">
        <f t="shared" si="285"/>
        <v>0</v>
      </c>
      <c r="AK224" s="205">
        <f t="shared" si="302"/>
        <v>0</v>
      </c>
      <c r="AL224" s="205">
        <f t="shared" si="303"/>
        <v>0</v>
      </c>
      <c r="AM224" s="199"/>
      <c r="AN224" s="200">
        <f>+AN223</f>
        <v>19</v>
      </c>
      <c r="AO224" s="201">
        <f>+AO223+1</f>
        <v>3</v>
      </c>
      <c r="AP224" s="202">
        <f t="shared" ca="1" si="315"/>
        <v>50679</v>
      </c>
      <c r="AQ224" s="203">
        <f>IF(Dashboard!$S$20="Float",AQ223+Dashboard!$T$20/12,AQ223)</f>
        <v>4.4999999999999998E-2</v>
      </c>
      <c r="AR224" s="204">
        <f t="shared" si="304"/>
        <v>207</v>
      </c>
      <c r="AS224" s="205">
        <f t="shared" si="305"/>
        <v>2116525.865616505</v>
      </c>
      <c r="AT224" s="205">
        <f t="shared" si="288"/>
        <v>-18117.071455543854</v>
      </c>
      <c r="AU224" s="205">
        <f t="shared" si="289"/>
        <v>-7936.9719960618932</v>
      </c>
      <c r="AV224" s="205">
        <f t="shared" si="306"/>
        <v>-10180.09945948196</v>
      </c>
      <c r="AW224" s="205">
        <f t="shared" si="307"/>
        <v>2106345.7661570231</v>
      </c>
      <c r="AX224" s="199"/>
    </row>
    <row r="225" spans="1:50">
      <c r="A225" s="73"/>
      <c r="B225" s="570"/>
      <c r="C225" s="200">
        <f>+C224</f>
        <v>18</v>
      </c>
      <c r="D225" s="201">
        <f t="shared" ref="D225:D233" si="322">+D224+1</f>
        <v>4</v>
      </c>
      <c r="E225" s="202">
        <f t="shared" ca="1" si="309"/>
        <v>50710</v>
      </c>
      <c r="F225" s="203">
        <f>IF(Dashboard!$Q$5="Float",F224+Dashboard!$R$5/12,F224)</f>
        <v>0.04</v>
      </c>
      <c r="G225" s="204">
        <f t="shared" si="290"/>
        <v>208</v>
      </c>
      <c r="H225" s="205">
        <f t="shared" si="291"/>
        <v>2142970.598302478</v>
      </c>
      <c r="I225" s="205">
        <f t="shared" si="276"/>
        <v>-17903.073579954718</v>
      </c>
      <c r="J225" s="205">
        <f t="shared" si="277"/>
        <v>-7143.2353276749272</v>
      </c>
      <c r="K225" s="205">
        <f t="shared" si="292"/>
        <v>-10759.838252279791</v>
      </c>
      <c r="L225" s="205">
        <f t="shared" si="293"/>
        <v>2132210.7600501981</v>
      </c>
      <c r="M225" s="199"/>
      <c r="N225" s="200">
        <f t="shared" ca="1" si="294"/>
        <v>5</v>
      </c>
      <c r="O225" s="509">
        <f t="shared" ca="1" si="278"/>
        <v>56</v>
      </c>
      <c r="P225" s="200">
        <f t="shared" ca="1" si="279"/>
        <v>5</v>
      </c>
      <c r="Q225" s="201">
        <f t="shared" ref="Q225:Q233" si="323">+Q224+1</f>
        <v>4</v>
      </c>
      <c r="R225" s="202">
        <f t="shared" si="311"/>
        <v>46113</v>
      </c>
      <c r="S225" s="203">
        <f t="shared" si="295"/>
        <v>0.04</v>
      </c>
      <c r="T225" s="204">
        <f t="shared" ca="1" si="296"/>
        <v>21</v>
      </c>
      <c r="U225" s="205">
        <f t="shared" ca="1" si="297"/>
        <v>485126.28838507662</v>
      </c>
      <c r="V225" s="205">
        <f t="shared" ca="1" si="280"/>
        <v>-2387.0764773272977</v>
      </c>
      <c r="W225" s="205">
        <f t="shared" ca="1" si="281"/>
        <v>-1617.0876279502554</v>
      </c>
      <c r="X225" s="205">
        <f t="shared" ca="1" si="298"/>
        <v>-769.98884937704224</v>
      </c>
      <c r="Y225" s="205">
        <f t="shared" ca="1" si="299"/>
        <v>484356.2995356996</v>
      </c>
      <c r="Z225" s="199"/>
      <c r="AA225" s="200">
        <f t="shared" ca="1" si="287"/>
        <v>18</v>
      </c>
      <c r="AB225" s="509">
        <f t="shared" ca="1" si="282"/>
        <v>207</v>
      </c>
      <c r="AC225" s="200">
        <f>+AC224</f>
        <v>18</v>
      </c>
      <c r="AD225" s="201">
        <f t="shared" ref="AD225:AD233" si="324">+AD224+1</f>
        <v>4</v>
      </c>
      <c r="AE225" s="202">
        <f t="shared" ca="1" si="313"/>
        <v>50710</v>
      </c>
      <c r="AF225" s="203">
        <f>IF(Dashboard!$R$24="Float",AF224+Dashboard!$R$24/12,AF224)</f>
        <v>0.06</v>
      </c>
      <c r="AG225" s="204">
        <f t="shared" si="300"/>
        <v>208</v>
      </c>
      <c r="AH225" s="205">
        <f t="shared" si="301"/>
        <v>0</v>
      </c>
      <c r="AI225" s="205">
        <f t="shared" si="284"/>
        <v>0</v>
      </c>
      <c r="AJ225" s="205">
        <f t="shared" si="285"/>
        <v>0</v>
      </c>
      <c r="AK225" s="205">
        <f t="shared" si="302"/>
        <v>0</v>
      </c>
      <c r="AL225" s="205">
        <f t="shared" si="303"/>
        <v>0</v>
      </c>
      <c r="AM225" s="199"/>
      <c r="AN225" s="200">
        <f>+AN224</f>
        <v>19</v>
      </c>
      <c r="AO225" s="201">
        <f t="shared" ref="AO225:AO233" si="325">+AO224+1</f>
        <v>4</v>
      </c>
      <c r="AP225" s="202">
        <f t="shared" ca="1" si="315"/>
        <v>50710</v>
      </c>
      <c r="AQ225" s="203">
        <f>IF(Dashboard!$S$20="Float",AQ224+Dashboard!$T$20/12,AQ224)</f>
        <v>4.4999999999999998E-2</v>
      </c>
      <c r="AR225" s="204">
        <f t="shared" si="304"/>
        <v>208</v>
      </c>
      <c r="AS225" s="205">
        <f t="shared" si="305"/>
        <v>2106345.7661570231</v>
      </c>
      <c r="AT225" s="205">
        <f t="shared" si="288"/>
        <v>-18117.071455543854</v>
      </c>
      <c r="AU225" s="205">
        <f t="shared" si="289"/>
        <v>-7898.7966230888369</v>
      </c>
      <c r="AV225" s="205">
        <f t="shared" si="306"/>
        <v>-10218.274832455016</v>
      </c>
      <c r="AW225" s="205">
        <f t="shared" si="307"/>
        <v>2096127.4913245682</v>
      </c>
      <c r="AX225" s="199"/>
    </row>
    <row r="226" spans="1:50">
      <c r="A226" s="73"/>
      <c r="B226" s="570"/>
      <c r="C226" s="200">
        <f t="shared" ref="C226:C233" si="326">+C225</f>
        <v>18</v>
      </c>
      <c r="D226" s="201">
        <f t="shared" si="322"/>
        <v>5</v>
      </c>
      <c r="E226" s="202">
        <f t="shared" ca="1" si="309"/>
        <v>50740</v>
      </c>
      <c r="F226" s="203">
        <f>IF(Dashboard!$Q$5="Float",F225+Dashboard!$R$5/12,F225)</f>
        <v>0.04</v>
      </c>
      <c r="G226" s="204">
        <f t="shared" si="290"/>
        <v>209</v>
      </c>
      <c r="H226" s="205">
        <f t="shared" si="291"/>
        <v>2132210.7600501981</v>
      </c>
      <c r="I226" s="205">
        <f t="shared" si="276"/>
        <v>-17903.073579954715</v>
      </c>
      <c r="J226" s="205">
        <f t="shared" si="277"/>
        <v>-7107.3692001673271</v>
      </c>
      <c r="K226" s="205">
        <f t="shared" si="292"/>
        <v>-10795.704379787388</v>
      </c>
      <c r="L226" s="205">
        <f t="shared" si="293"/>
        <v>2121415.0556704109</v>
      </c>
      <c r="M226" s="199"/>
      <c r="N226" s="200">
        <f t="shared" ca="1" si="294"/>
        <v>5</v>
      </c>
      <c r="O226" s="509">
        <f t="shared" ca="1" si="278"/>
        <v>57</v>
      </c>
      <c r="P226" s="200">
        <f t="shared" ca="1" si="279"/>
        <v>5</v>
      </c>
      <c r="Q226" s="201">
        <f t="shared" si="323"/>
        <v>5</v>
      </c>
      <c r="R226" s="202">
        <f t="shared" si="311"/>
        <v>46143</v>
      </c>
      <c r="S226" s="203">
        <f t="shared" si="295"/>
        <v>0.04</v>
      </c>
      <c r="T226" s="204">
        <f t="shared" ca="1" si="296"/>
        <v>22</v>
      </c>
      <c r="U226" s="205">
        <f t="shared" ca="1" si="297"/>
        <v>484356.2995356996</v>
      </c>
      <c r="V226" s="205">
        <f t="shared" ca="1" si="280"/>
        <v>-2387.0764773272972</v>
      </c>
      <c r="W226" s="205">
        <f t="shared" ca="1" si="281"/>
        <v>-1614.5209984523319</v>
      </c>
      <c r="X226" s="205">
        <f t="shared" ca="1" si="298"/>
        <v>-772.55547887496527</v>
      </c>
      <c r="Y226" s="205">
        <f t="shared" ca="1" si="299"/>
        <v>483583.74405682465</v>
      </c>
      <c r="Z226" s="199"/>
      <c r="AA226" s="200">
        <f t="shared" ca="1" si="287"/>
        <v>18</v>
      </c>
      <c r="AB226" s="509">
        <f t="shared" ca="1" si="282"/>
        <v>208</v>
      </c>
      <c r="AC226" s="200">
        <f t="shared" ref="AC226:AC233" si="327">+AC225</f>
        <v>18</v>
      </c>
      <c r="AD226" s="201">
        <f t="shared" si="324"/>
        <v>5</v>
      </c>
      <c r="AE226" s="202">
        <f t="shared" ca="1" si="313"/>
        <v>50740</v>
      </c>
      <c r="AF226" s="203">
        <f>IF(Dashboard!$R$24="Float",AF225+Dashboard!$R$24/12,AF225)</f>
        <v>0.06</v>
      </c>
      <c r="AG226" s="204">
        <f t="shared" si="300"/>
        <v>209</v>
      </c>
      <c r="AH226" s="205">
        <f t="shared" si="301"/>
        <v>0</v>
      </c>
      <c r="AI226" s="205">
        <f t="shared" si="284"/>
        <v>0</v>
      </c>
      <c r="AJ226" s="205">
        <f t="shared" si="285"/>
        <v>0</v>
      </c>
      <c r="AK226" s="205">
        <f t="shared" si="302"/>
        <v>0</v>
      </c>
      <c r="AL226" s="205">
        <f t="shared" si="303"/>
        <v>0</v>
      </c>
      <c r="AM226" s="199"/>
      <c r="AN226" s="200">
        <f t="shared" ref="AN226:AN233" si="328">+AN225</f>
        <v>19</v>
      </c>
      <c r="AO226" s="201">
        <f t="shared" si="325"/>
        <v>5</v>
      </c>
      <c r="AP226" s="202">
        <f t="shared" ca="1" si="315"/>
        <v>50740</v>
      </c>
      <c r="AQ226" s="203">
        <f>IF(Dashboard!$S$20="Float",AQ225+Dashboard!$T$20/12,AQ225)</f>
        <v>4.4999999999999998E-2</v>
      </c>
      <c r="AR226" s="204">
        <f t="shared" si="304"/>
        <v>209</v>
      </c>
      <c r="AS226" s="205">
        <f t="shared" si="305"/>
        <v>2096127.4913245682</v>
      </c>
      <c r="AT226" s="205">
        <f t="shared" si="288"/>
        <v>-18117.07145554385</v>
      </c>
      <c r="AU226" s="205">
        <f t="shared" si="289"/>
        <v>-7860.4780924671295</v>
      </c>
      <c r="AV226" s="205">
        <f t="shared" si="306"/>
        <v>-10256.593363076721</v>
      </c>
      <c r="AW226" s="205">
        <f t="shared" si="307"/>
        <v>2085870.8979614915</v>
      </c>
      <c r="AX226" s="199"/>
    </row>
    <row r="227" spans="1:50">
      <c r="A227" s="73"/>
      <c r="B227" s="570"/>
      <c r="C227" s="200">
        <f t="shared" si="326"/>
        <v>18</v>
      </c>
      <c r="D227" s="201">
        <f t="shared" si="322"/>
        <v>6</v>
      </c>
      <c r="E227" s="202">
        <f t="shared" ca="1" si="309"/>
        <v>50771</v>
      </c>
      <c r="F227" s="203">
        <f>IF(Dashboard!$Q$5="Float",F226+Dashboard!$R$5/12,F226)</f>
        <v>0.04</v>
      </c>
      <c r="G227" s="204">
        <f t="shared" si="290"/>
        <v>210</v>
      </c>
      <c r="H227" s="205">
        <f t="shared" si="291"/>
        <v>2121415.0556704109</v>
      </c>
      <c r="I227" s="205">
        <f t="shared" si="276"/>
        <v>-17903.073579954718</v>
      </c>
      <c r="J227" s="205">
        <f t="shared" si="277"/>
        <v>-7071.3835189013698</v>
      </c>
      <c r="K227" s="205">
        <f t="shared" si="292"/>
        <v>-10831.690061053348</v>
      </c>
      <c r="L227" s="205">
        <f t="shared" si="293"/>
        <v>2110583.3656093576</v>
      </c>
      <c r="M227" s="199"/>
      <c r="N227" s="200">
        <f t="shared" ca="1" si="294"/>
        <v>5</v>
      </c>
      <c r="O227" s="509">
        <f t="shared" ca="1" si="278"/>
        <v>58</v>
      </c>
      <c r="P227" s="200">
        <f t="shared" ca="1" si="279"/>
        <v>5</v>
      </c>
      <c r="Q227" s="201">
        <f t="shared" si="323"/>
        <v>6</v>
      </c>
      <c r="R227" s="202">
        <f t="shared" si="311"/>
        <v>46174</v>
      </c>
      <c r="S227" s="203">
        <f t="shared" si="295"/>
        <v>0.04</v>
      </c>
      <c r="T227" s="204">
        <f t="shared" ca="1" si="296"/>
        <v>23</v>
      </c>
      <c r="U227" s="205">
        <f t="shared" ca="1" si="297"/>
        <v>483583.74405682465</v>
      </c>
      <c r="V227" s="205">
        <f t="shared" ca="1" si="280"/>
        <v>-2387.0764773272977</v>
      </c>
      <c r="W227" s="205">
        <f t="shared" ca="1" si="281"/>
        <v>-1611.9458135227489</v>
      </c>
      <c r="X227" s="205">
        <f t="shared" ca="1" si="298"/>
        <v>-775.1306638045487</v>
      </c>
      <c r="Y227" s="205">
        <f t="shared" ca="1" si="299"/>
        <v>482808.61339302012</v>
      </c>
      <c r="Z227" s="199"/>
      <c r="AA227" s="200">
        <f t="shared" ca="1" si="287"/>
        <v>18</v>
      </c>
      <c r="AB227" s="509">
        <f t="shared" ca="1" si="282"/>
        <v>209</v>
      </c>
      <c r="AC227" s="200">
        <f t="shared" si="327"/>
        <v>18</v>
      </c>
      <c r="AD227" s="201">
        <f t="shared" si="324"/>
        <v>6</v>
      </c>
      <c r="AE227" s="202">
        <f t="shared" ca="1" si="313"/>
        <v>50771</v>
      </c>
      <c r="AF227" s="203">
        <f>IF(Dashboard!$R$24="Float",AF226+Dashboard!$R$24/12,AF226)</f>
        <v>0.06</v>
      </c>
      <c r="AG227" s="204">
        <f t="shared" si="300"/>
        <v>210</v>
      </c>
      <c r="AH227" s="205">
        <f t="shared" si="301"/>
        <v>0</v>
      </c>
      <c r="AI227" s="205">
        <f t="shared" si="284"/>
        <v>0</v>
      </c>
      <c r="AJ227" s="205">
        <f t="shared" si="285"/>
        <v>0</v>
      </c>
      <c r="AK227" s="205">
        <f t="shared" si="302"/>
        <v>0</v>
      </c>
      <c r="AL227" s="205">
        <f t="shared" si="303"/>
        <v>0</v>
      </c>
      <c r="AM227" s="199"/>
      <c r="AN227" s="200">
        <f t="shared" si="328"/>
        <v>19</v>
      </c>
      <c r="AO227" s="201">
        <f t="shared" si="325"/>
        <v>6</v>
      </c>
      <c r="AP227" s="202">
        <f t="shared" ca="1" si="315"/>
        <v>50771</v>
      </c>
      <c r="AQ227" s="203">
        <f>IF(Dashboard!$S$20="Float",AQ226+Dashboard!$T$20/12,AQ226)</f>
        <v>4.4999999999999998E-2</v>
      </c>
      <c r="AR227" s="204">
        <f t="shared" si="304"/>
        <v>210</v>
      </c>
      <c r="AS227" s="205">
        <f t="shared" si="305"/>
        <v>2085870.8979614915</v>
      </c>
      <c r="AT227" s="205">
        <f t="shared" si="288"/>
        <v>-18117.071455543854</v>
      </c>
      <c r="AU227" s="205">
        <f t="shared" si="289"/>
        <v>-7822.0158673555925</v>
      </c>
      <c r="AV227" s="205">
        <f t="shared" si="306"/>
        <v>-10295.055588188261</v>
      </c>
      <c r="AW227" s="205">
        <f t="shared" si="307"/>
        <v>2075575.8423733031</v>
      </c>
      <c r="AX227" s="199"/>
    </row>
    <row r="228" spans="1:50">
      <c r="A228" s="73"/>
      <c r="B228" s="570"/>
      <c r="C228" s="200">
        <f t="shared" si="326"/>
        <v>18</v>
      </c>
      <c r="D228" s="201">
        <f t="shared" si="322"/>
        <v>7</v>
      </c>
      <c r="E228" s="202">
        <f t="shared" ca="1" si="309"/>
        <v>50802</v>
      </c>
      <c r="F228" s="203">
        <f>IF(Dashboard!$Q$5="Float",F227+Dashboard!$R$5/12,F227)</f>
        <v>0.04</v>
      </c>
      <c r="G228" s="204">
        <f t="shared" si="290"/>
        <v>211</v>
      </c>
      <c r="H228" s="205">
        <f t="shared" si="291"/>
        <v>2110583.3656093576</v>
      </c>
      <c r="I228" s="205">
        <f t="shared" si="276"/>
        <v>-17903.073579954722</v>
      </c>
      <c r="J228" s="205">
        <f t="shared" si="277"/>
        <v>-7035.277885364525</v>
      </c>
      <c r="K228" s="205">
        <f t="shared" si="292"/>
        <v>-10867.795694590197</v>
      </c>
      <c r="L228" s="205">
        <f t="shared" si="293"/>
        <v>2099715.5699147675</v>
      </c>
      <c r="M228" s="199"/>
      <c r="N228" s="200">
        <f t="shared" ca="1" si="294"/>
        <v>5</v>
      </c>
      <c r="O228" s="509">
        <f t="shared" ca="1" si="278"/>
        <v>59</v>
      </c>
      <c r="P228" s="200">
        <f t="shared" ca="1" si="279"/>
        <v>5</v>
      </c>
      <c r="Q228" s="201">
        <f t="shared" si="323"/>
        <v>7</v>
      </c>
      <c r="R228" s="202">
        <f t="shared" si="311"/>
        <v>46204</v>
      </c>
      <c r="S228" s="203">
        <f t="shared" si="295"/>
        <v>0.04</v>
      </c>
      <c r="T228" s="204">
        <f t="shared" ca="1" si="296"/>
        <v>24</v>
      </c>
      <c r="U228" s="205">
        <f t="shared" ca="1" si="297"/>
        <v>482808.61339302012</v>
      </c>
      <c r="V228" s="205">
        <f t="shared" ca="1" si="280"/>
        <v>-2387.0764773272977</v>
      </c>
      <c r="W228" s="205">
        <f t="shared" ca="1" si="281"/>
        <v>-1609.3620446434004</v>
      </c>
      <c r="X228" s="205">
        <f t="shared" ca="1" si="298"/>
        <v>-777.71443268389726</v>
      </c>
      <c r="Y228" s="205">
        <f t="shared" ca="1" si="299"/>
        <v>482030.89896033623</v>
      </c>
      <c r="Z228" s="199"/>
      <c r="AA228" s="200">
        <f t="shared" ca="1" si="287"/>
        <v>18</v>
      </c>
      <c r="AB228" s="509">
        <f t="shared" ca="1" si="282"/>
        <v>210</v>
      </c>
      <c r="AC228" s="200">
        <f t="shared" si="327"/>
        <v>18</v>
      </c>
      <c r="AD228" s="201">
        <f t="shared" si="324"/>
        <v>7</v>
      </c>
      <c r="AE228" s="202">
        <f t="shared" ca="1" si="313"/>
        <v>50802</v>
      </c>
      <c r="AF228" s="203">
        <f>IF(Dashboard!$R$24="Float",AF227+Dashboard!$R$24/12,AF227)</f>
        <v>0.06</v>
      </c>
      <c r="AG228" s="204">
        <f t="shared" si="300"/>
        <v>211</v>
      </c>
      <c r="AH228" s="205">
        <f t="shared" si="301"/>
        <v>0</v>
      </c>
      <c r="AI228" s="205">
        <f t="shared" si="284"/>
        <v>0</v>
      </c>
      <c r="AJ228" s="205">
        <f t="shared" si="285"/>
        <v>0</v>
      </c>
      <c r="AK228" s="205">
        <f t="shared" si="302"/>
        <v>0</v>
      </c>
      <c r="AL228" s="205">
        <f t="shared" si="303"/>
        <v>0</v>
      </c>
      <c r="AM228" s="199"/>
      <c r="AN228" s="200">
        <f t="shared" si="328"/>
        <v>19</v>
      </c>
      <c r="AO228" s="201">
        <f t="shared" si="325"/>
        <v>7</v>
      </c>
      <c r="AP228" s="202">
        <f t="shared" ca="1" si="315"/>
        <v>50802</v>
      </c>
      <c r="AQ228" s="203">
        <f>IF(Dashboard!$S$20="Float",AQ227+Dashboard!$T$20/12,AQ227)</f>
        <v>4.4999999999999998E-2</v>
      </c>
      <c r="AR228" s="204">
        <f t="shared" si="304"/>
        <v>211</v>
      </c>
      <c r="AS228" s="205">
        <f t="shared" si="305"/>
        <v>2075575.8423733031</v>
      </c>
      <c r="AT228" s="205">
        <f t="shared" si="288"/>
        <v>-18117.071455543854</v>
      </c>
      <c r="AU228" s="205">
        <f t="shared" si="289"/>
        <v>-7783.4094088998863</v>
      </c>
      <c r="AV228" s="205">
        <f t="shared" si="306"/>
        <v>-10333.662046643967</v>
      </c>
      <c r="AW228" s="205">
        <f t="shared" si="307"/>
        <v>2065242.1803266592</v>
      </c>
      <c r="AX228" s="199"/>
    </row>
    <row r="229" spans="1:50">
      <c r="A229" s="73"/>
      <c r="B229" s="570"/>
      <c r="C229" s="200">
        <f t="shared" si="326"/>
        <v>18</v>
      </c>
      <c r="D229" s="201">
        <f t="shared" si="322"/>
        <v>8</v>
      </c>
      <c r="E229" s="202">
        <f t="shared" ca="1" si="309"/>
        <v>50830</v>
      </c>
      <c r="F229" s="203">
        <f>IF(Dashboard!$Q$5="Float",F228+Dashboard!$R$5/12,F228)</f>
        <v>0.04</v>
      </c>
      <c r="G229" s="204">
        <f t="shared" si="290"/>
        <v>212</v>
      </c>
      <c r="H229" s="205">
        <f t="shared" si="291"/>
        <v>2099715.5699147675</v>
      </c>
      <c r="I229" s="205">
        <f t="shared" si="276"/>
        <v>-17903.073579954718</v>
      </c>
      <c r="J229" s="205">
        <f t="shared" si="277"/>
        <v>-6999.0518997158915</v>
      </c>
      <c r="K229" s="205">
        <f t="shared" si="292"/>
        <v>-10904.021680238828</v>
      </c>
      <c r="L229" s="205">
        <f t="shared" si="293"/>
        <v>2088811.5482345286</v>
      </c>
      <c r="M229" s="199"/>
      <c r="N229" s="200">
        <f t="shared" ca="1" si="294"/>
        <v>5</v>
      </c>
      <c r="O229" s="509">
        <f t="shared" ca="1" si="278"/>
        <v>60</v>
      </c>
      <c r="P229" s="200">
        <f t="shared" ca="1" si="279"/>
        <v>6</v>
      </c>
      <c r="Q229" s="201">
        <f t="shared" si="323"/>
        <v>8</v>
      </c>
      <c r="R229" s="202">
        <f t="shared" si="311"/>
        <v>46235</v>
      </c>
      <c r="S229" s="203">
        <f t="shared" si="295"/>
        <v>0.04</v>
      </c>
      <c r="T229" s="204">
        <f t="shared" ca="1" si="296"/>
        <v>25</v>
      </c>
      <c r="U229" s="205">
        <f t="shared" ca="1" si="297"/>
        <v>482030.89896033623</v>
      </c>
      <c r="V229" s="205">
        <f t="shared" ca="1" si="280"/>
        <v>-2387.0764773272977</v>
      </c>
      <c r="W229" s="205">
        <f t="shared" ca="1" si="281"/>
        <v>-1606.7696632011209</v>
      </c>
      <c r="X229" s="205">
        <f t="shared" ca="1" si="298"/>
        <v>-780.30681412617673</v>
      </c>
      <c r="Y229" s="205">
        <f t="shared" ca="1" si="299"/>
        <v>481250.59214621002</v>
      </c>
      <c r="Z229" s="199"/>
      <c r="AA229" s="200">
        <f t="shared" ca="1" si="287"/>
        <v>18</v>
      </c>
      <c r="AB229" s="509">
        <f t="shared" ca="1" si="282"/>
        <v>211</v>
      </c>
      <c r="AC229" s="200">
        <f t="shared" si="327"/>
        <v>18</v>
      </c>
      <c r="AD229" s="201">
        <f t="shared" si="324"/>
        <v>8</v>
      </c>
      <c r="AE229" s="202">
        <f t="shared" ca="1" si="313"/>
        <v>50830</v>
      </c>
      <c r="AF229" s="203">
        <f>IF(Dashboard!$R$24="Float",AF228+Dashboard!$R$24/12,AF228)</f>
        <v>0.06</v>
      </c>
      <c r="AG229" s="204">
        <f t="shared" si="300"/>
        <v>212</v>
      </c>
      <c r="AH229" s="205">
        <f t="shared" si="301"/>
        <v>0</v>
      </c>
      <c r="AI229" s="205">
        <f t="shared" si="284"/>
        <v>0</v>
      </c>
      <c r="AJ229" s="205">
        <f t="shared" si="285"/>
        <v>0</v>
      </c>
      <c r="AK229" s="205">
        <f t="shared" si="302"/>
        <v>0</v>
      </c>
      <c r="AL229" s="205">
        <f t="shared" si="303"/>
        <v>0</v>
      </c>
      <c r="AM229" s="199"/>
      <c r="AN229" s="200">
        <f t="shared" si="328"/>
        <v>19</v>
      </c>
      <c r="AO229" s="201">
        <f t="shared" si="325"/>
        <v>8</v>
      </c>
      <c r="AP229" s="202">
        <f t="shared" ca="1" si="315"/>
        <v>50830</v>
      </c>
      <c r="AQ229" s="203">
        <f>IF(Dashboard!$S$20="Float",AQ228+Dashboard!$T$20/12,AQ228)</f>
        <v>4.4999999999999998E-2</v>
      </c>
      <c r="AR229" s="204">
        <f t="shared" si="304"/>
        <v>212</v>
      </c>
      <c r="AS229" s="205">
        <f t="shared" si="305"/>
        <v>2065242.1803266592</v>
      </c>
      <c r="AT229" s="205">
        <f t="shared" si="288"/>
        <v>-18117.07145554385</v>
      </c>
      <c r="AU229" s="205">
        <f t="shared" si="289"/>
        <v>-7744.6581762249725</v>
      </c>
      <c r="AV229" s="205">
        <f t="shared" si="306"/>
        <v>-10372.413279318876</v>
      </c>
      <c r="AW229" s="205">
        <f t="shared" si="307"/>
        <v>2054869.7670473403</v>
      </c>
      <c r="AX229" s="199"/>
    </row>
    <row r="230" spans="1:50">
      <c r="A230" s="73"/>
      <c r="B230" s="570"/>
      <c r="C230" s="200">
        <f t="shared" si="326"/>
        <v>18</v>
      </c>
      <c r="D230" s="201">
        <f t="shared" si="322"/>
        <v>9</v>
      </c>
      <c r="E230" s="202">
        <f t="shared" ca="1" si="309"/>
        <v>50861</v>
      </c>
      <c r="F230" s="203">
        <f>IF(Dashboard!$Q$5="Float",F229+Dashboard!$R$5/12,F229)</f>
        <v>0.04</v>
      </c>
      <c r="G230" s="204">
        <f t="shared" si="290"/>
        <v>213</v>
      </c>
      <c r="H230" s="205">
        <f t="shared" si="291"/>
        <v>2088811.5482345286</v>
      </c>
      <c r="I230" s="205">
        <f t="shared" si="276"/>
        <v>-17903.073579954718</v>
      </c>
      <c r="J230" s="205">
        <f t="shared" si="277"/>
        <v>-6962.7051607817621</v>
      </c>
      <c r="K230" s="205">
        <f t="shared" si="292"/>
        <v>-10940.368419172955</v>
      </c>
      <c r="L230" s="205">
        <f t="shared" si="293"/>
        <v>2077871.1798153557</v>
      </c>
      <c r="M230" s="199"/>
      <c r="N230" s="200">
        <f t="shared" ca="1" si="294"/>
        <v>6</v>
      </c>
      <c r="O230" s="509">
        <f t="shared" ca="1" si="278"/>
        <v>61</v>
      </c>
      <c r="P230" s="200">
        <f t="shared" ca="1" si="279"/>
        <v>6</v>
      </c>
      <c r="Q230" s="201">
        <f t="shared" si="323"/>
        <v>9</v>
      </c>
      <c r="R230" s="202">
        <f t="shared" si="311"/>
        <v>46266</v>
      </c>
      <c r="S230" s="203">
        <f t="shared" si="295"/>
        <v>0.04</v>
      </c>
      <c r="T230" s="204">
        <f t="shared" ca="1" si="296"/>
        <v>26</v>
      </c>
      <c r="U230" s="205">
        <f t="shared" ca="1" si="297"/>
        <v>481250.59214621002</v>
      </c>
      <c r="V230" s="205">
        <f t="shared" ca="1" si="280"/>
        <v>-2387.0764773272977</v>
      </c>
      <c r="W230" s="205">
        <f t="shared" ca="1" si="281"/>
        <v>-1604.1686404873669</v>
      </c>
      <c r="X230" s="205">
        <f t="shared" ca="1" si="298"/>
        <v>-782.90783683993072</v>
      </c>
      <c r="Y230" s="205">
        <f t="shared" ca="1" si="299"/>
        <v>480467.68430937012</v>
      </c>
      <c r="Z230" s="199"/>
      <c r="AA230" s="200">
        <f t="shared" ca="1" si="287"/>
        <v>18</v>
      </c>
      <c r="AB230" s="509">
        <f t="shared" ca="1" si="282"/>
        <v>212</v>
      </c>
      <c r="AC230" s="200">
        <f t="shared" si="327"/>
        <v>18</v>
      </c>
      <c r="AD230" s="201">
        <f t="shared" si="324"/>
        <v>9</v>
      </c>
      <c r="AE230" s="202">
        <f t="shared" ca="1" si="313"/>
        <v>50861</v>
      </c>
      <c r="AF230" s="203">
        <f>IF(Dashboard!$R$24="Float",AF229+Dashboard!$R$24/12,AF229)</f>
        <v>0.06</v>
      </c>
      <c r="AG230" s="204">
        <f t="shared" si="300"/>
        <v>213</v>
      </c>
      <c r="AH230" s="205">
        <f t="shared" si="301"/>
        <v>0</v>
      </c>
      <c r="AI230" s="205">
        <f t="shared" si="284"/>
        <v>0</v>
      </c>
      <c r="AJ230" s="205">
        <f t="shared" si="285"/>
        <v>0</v>
      </c>
      <c r="AK230" s="205">
        <f t="shared" si="302"/>
        <v>0</v>
      </c>
      <c r="AL230" s="205">
        <f t="shared" si="303"/>
        <v>0</v>
      </c>
      <c r="AM230" s="199"/>
      <c r="AN230" s="200">
        <f t="shared" si="328"/>
        <v>19</v>
      </c>
      <c r="AO230" s="201">
        <f t="shared" si="325"/>
        <v>9</v>
      </c>
      <c r="AP230" s="202">
        <f t="shared" ca="1" si="315"/>
        <v>50861</v>
      </c>
      <c r="AQ230" s="203">
        <f>IF(Dashboard!$S$20="Float",AQ229+Dashboard!$T$20/12,AQ229)</f>
        <v>4.4999999999999998E-2</v>
      </c>
      <c r="AR230" s="204">
        <f t="shared" si="304"/>
        <v>213</v>
      </c>
      <c r="AS230" s="205">
        <f t="shared" si="305"/>
        <v>2054869.7670473403</v>
      </c>
      <c r="AT230" s="205">
        <f t="shared" si="288"/>
        <v>-18117.071455543854</v>
      </c>
      <c r="AU230" s="205">
        <f t="shared" si="289"/>
        <v>-7705.7616264275266</v>
      </c>
      <c r="AV230" s="205">
        <f t="shared" si="306"/>
        <v>-10411.309829116326</v>
      </c>
      <c r="AW230" s="205">
        <f t="shared" si="307"/>
        <v>2044458.4572182239</v>
      </c>
      <c r="AX230" s="199"/>
    </row>
    <row r="231" spans="1:50">
      <c r="A231" s="73"/>
      <c r="B231" s="570"/>
      <c r="C231" s="200">
        <f t="shared" si="326"/>
        <v>18</v>
      </c>
      <c r="D231" s="201">
        <f t="shared" si="322"/>
        <v>10</v>
      </c>
      <c r="E231" s="202">
        <f t="shared" ca="1" si="309"/>
        <v>50891</v>
      </c>
      <c r="F231" s="203">
        <f>IF(Dashboard!$Q$5="Float",F230+Dashboard!$R$5/12,F230)</f>
        <v>0.04</v>
      </c>
      <c r="G231" s="204">
        <f t="shared" si="290"/>
        <v>214</v>
      </c>
      <c r="H231" s="205">
        <f t="shared" si="291"/>
        <v>2077871.1798153557</v>
      </c>
      <c r="I231" s="205">
        <f t="shared" si="276"/>
        <v>-17903.073579954718</v>
      </c>
      <c r="J231" s="205">
        <f t="shared" si="277"/>
        <v>-6926.2372660511855</v>
      </c>
      <c r="K231" s="205">
        <f t="shared" si="292"/>
        <v>-10976.836313903532</v>
      </c>
      <c r="L231" s="205">
        <f t="shared" si="293"/>
        <v>2066894.3435014521</v>
      </c>
      <c r="M231" s="199"/>
      <c r="N231" s="200">
        <f t="shared" ca="1" si="294"/>
        <v>6</v>
      </c>
      <c r="O231" s="509">
        <f t="shared" ca="1" si="278"/>
        <v>62</v>
      </c>
      <c r="P231" s="200">
        <f t="shared" ca="1" si="279"/>
        <v>6</v>
      </c>
      <c r="Q231" s="201">
        <f t="shared" si="323"/>
        <v>10</v>
      </c>
      <c r="R231" s="202">
        <f t="shared" si="311"/>
        <v>46296</v>
      </c>
      <c r="S231" s="203">
        <f t="shared" si="295"/>
        <v>0.04</v>
      </c>
      <c r="T231" s="204">
        <f t="shared" ca="1" si="296"/>
        <v>27</v>
      </c>
      <c r="U231" s="205">
        <f t="shared" ca="1" si="297"/>
        <v>480467.68430937012</v>
      </c>
      <c r="V231" s="205">
        <f t="shared" ca="1" si="280"/>
        <v>-2387.0764773272977</v>
      </c>
      <c r="W231" s="205">
        <f t="shared" ca="1" si="281"/>
        <v>-1601.5589476979003</v>
      </c>
      <c r="X231" s="205">
        <f t="shared" ca="1" si="298"/>
        <v>-785.51752962939736</v>
      </c>
      <c r="Y231" s="205">
        <f t="shared" ca="1" si="299"/>
        <v>479682.16677974071</v>
      </c>
      <c r="Z231" s="199"/>
      <c r="AA231" s="200">
        <f t="shared" ca="1" si="287"/>
        <v>18</v>
      </c>
      <c r="AB231" s="509">
        <f t="shared" ca="1" si="282"/>
        <v>213</v>
      </c>
      <c r="AC231" s="200">
        <f t="shared" si="327"/>
        <v>18</v>
      </c>
      <c r="AD231" s="201">
        <f t="shared" si="324"/>
        <v>10</v>
      </c>
      <c r="AE231" s="202">
        <f t="shared" ca="1" si="313"/>
        <v>50891</v>
      </c>
      <c r="AF231" s="203">
        <f>IF(Dashboard!$R$24="Float",AF230+Dashboard!$R$24/12,AF230)</f>
        <v>0.06</v>
      </c>
      <c r="AG231" s="204">
        <f t="shared" si="300"/>
        <v>214</v>
      </c>
      <c r="AH231" s="205">
        <f t="shared" si="301"/>
        <v>0</v>
      </c>
      <c r="AI231" s="205">
        <f t="shared" si="284"/>
        <v>0</v>
      </c>
      <c r="AJ231" s="205">
        <f t="shared" si="285"/>
        <v>0</v>
      </c>
      <c r="AK231" s="205">
        <f t="shared" si="302"/>
        <v>0</v>
      </c>
      <c r="AL231" s="205">
        <f t="shared" si="303"/>
        <v>0</v>
      </c>
      <c r="AM231" s="199"/>
      <c r="AN231" s="200">
        <f t="shared" si="328"/>
        <v>19</v>
      </c>
      <c r="AO231" s="201">
        <f t="shared" si="325"/>
        <v>10</v>
      </c>
      <c r="AP231" s="202">
        <f t="shared" ca="1" si="315"/>
        <v>50891</v>
      </c>
      <c r="AQ231" s="203">
        <f>IF(Dashboard!$S$20="Float",AQ230+Dashboard!$T$20/12,AQ230)</f>
        <v>4.4999999999999998E-2</v>
      </c>
      <c r="AR231" s="204">
        <f t="shared" si="304"/>
        <v>214</v>
      </c>
      <c r="AS231" s="205">
        <f t="shared" si="305"/>
        <v>2044458.4572182239</v>
      </c>
      <c r="AT231" s="205">
        <f t="shared" si="288"/>
        <v>-18117.071455543854</v>
      </c>
      <c r="AU231" s="205">
        <f t="shared" si="289"/>
        <v>-7666.7192145683393</v>
      </c>
      <c r="AV231" s="205">
        <f t="shared" si="306"/>
        <v>-10450.352240975513</v>
      </c>
      <c r="AW231" s="205">
        <f t="shared" si="307"/>
        <v>2034008.1049772485</v>
      </c>
      <c r="AX231" s="199"/>
    </row>
    <row r="232" spans="1:50">
      <c r="A232" s="73"/>
      <c r="B232" s="570"/>
      <c r="C232" s="200">
        <f t="shared" si="326"/>
        <v>18</v>
      </c>
      <c r="D232" s="201">
        <f t="shared" si="322"/>
        <v>11</v>
      </c>
      <c r="E232" s="202">
        <f t="shared" ca="1" si="309"/>
        <v>50922</v>
      </c>
      <c r="F232" s="203">
        <f>IF(Dashboard!$Q$5="Float",F231+Dashboard!$R$5/12,F231)</f>
        <v>0.04</v>
      </c>
      <c r="G232" s="204">
        <f t="shared" si="290"/>
        <v>215</v>
      </c>
      <c r="H232" s="205">
        <f t="shared" si="291"/>
        <v>2066894.3435014521</v>
      </c>
      <c r="I232" s="205">
        <f t="shared" si="276"/>
        <v>-17903.073579954718</v>
      </c>
      <c r="J232" s="205">
        <f t="shared" si="277"/>
        <v>-6889.647811671507</v>
      </c>
      <c r="K232" s="205">
        <f t="shared" si="292"/>
        <v>-11013.42576828321</v>
      </c>
      <c r="L232" s="205">
        <f t="shared" si="293"/>
        <v>2055880.9177331689</v>
      </c>
      <c r="M232" s="199"/>
      <c r="N232" s="200">
        <f t="shared" ca="1" si="294"/>
        <v>6</v>
      </c>
      <c r="O232" s="509">
        <f t="shared" ca="1" si="278"/>
        <v>63</v>
      </c>
      <c r="P232" s="200">
        <f t="shared" ca="1" si="279"/>
        <v>6</v>
      </c>
      <c r="Q232" s="201">
        <f t="shared" si="323"/>
        <v>11</v>
      </c>
      <c r="R232" s="202">
        <f t="shared" si="311"/>
        <v>46327</v>
      </c>
      <c r="S232" s="203">
        <f t="shared" si="295"/>
        <v>0.04</v>
      </c>
      <c r="T232" s="204">
        <f t="shared" ca="1" si="296"/>
        <v>28</v>
      </c>
      <c r="U232" s="205">
        <f t="shared" ca="1" si="297"/>
        <v>479682.16677974071</v>
      </c>
      <c r="V232" s="205">
        <f t="shared" ca="1" si="280"/>
        <v>-2387.0764773272981</v>
      </c>
      <c r="W232" s="205">
        <f t="shared" ca="1" si="281"/>
        <v>-1598.9405559324689</v>
      </c>
      <c r="X232" s="205">
        <f t="shared" ca="1" si="298"/>
        <v>-788.13592139482921</v>
      </c>
      <c r="Y232" s="205">
        <f t="shared" ca="1" si="299"/>
        <v>478894.03085834591</v>
      </c>
      <c r="Z232" s="199"/>
      <c r="AA232" s="200">
        <f t="shared" ca="1" si="287"/>
        <v>18</v>
      </c>
      <c r="AB232" s="509">
        <f t="shared" ca="1" si="282"/>
        <v>214</v>
      </c>
      <c r="AC232" s="200">
        <f t="shared" si="327"/>
        <v>18</v>
      </c>
      <c r="AD232" s="201">
        <f t="shared" si="324"/>
        <v>11</v>
      </c>
      <c r="AE232" s="202">
        <f t="shared" ca="1" si="313"/>
        <v>50922</v>
      </c>
      <c r="AF232" s="203">
        <f>IF(Dashboard!$R$24="Float",AF231+Dashboard!$R$24/12,AF231)</f>
        <v>0.06</v>
      </c>
      <c r="AG232" s="204">
        <f t="shared" si="300"/>
        <v>215</v>
      </c>
      <c r="AH232" s="205">
        <f t="shared" si="301"/>
        <v>0</v>
      </c>
      <c r="AI232" s="205">
        <f t="shared" si="284"/>
        <v>0</v>
      </c>
      <c r="AJ232" s="205">
        <f t="shared" si="285"/>
        <v>0</v>
      </c>
      <c r="AK232" s="205">
        <f t="shared" si="302"/>
        <v>0</v>
      </c>
      <c r="AL232" s="205">
        <f t="shared" si="303"/>
        <v>0</v>
      </c>
      <c r="AM232" s="199"/>
      <c r="AN232" s="200">
        <f t="shared" si="328"/>
        <v>19</v>
      </c>
      <c r="AO232" s="201">
        <f t="shared" si="325"/>
        <v>11</v>
      </c>
      <c r="AP232" s="202">
        <f t="shared" ca="1" si="315"/>
        <v>50922</v>
      </c>
      <c r="AQ232" s="203">
        <f>IF(Dashboard!$S$20="Float",AQ231+Dashboard!$T$20/12,AQ231)</f>
        <v>4.4999999999999998E-2</v>
      </c>
      <c r="AR232" s="204">
        <f t="shared" si="304"/>
        <v>215</v>
      </c>
      <c r="AS232" s="205">
        <f t="shared" si="305"/>
        <v>2034008.1049772485</v>
      </c>
      <c r="AT232" s="205">
        <f t="shared" si="288"/>
        <v>-18117.071455543854</v>
      </c>
      <c r="AU232" s="205">
        <f t="shared" si="289"/>
        <v>-7627.5303936646815</v>
      </c>
      <c r="AV232" s="205">
        <f t="shared" si="306"/>
        <v>-10489.541061879172</v>
      </c>
      <c r="AW232" s="205">
        <f t="shared" si="307"/>
        <v>2023518.5639153693</v>
      </c>
      <c r="AX232" s="199"/>
    </row>
    <row r="233" spans="1:50">
      <c r="A233" s="73"/>
      <c r="B233" s="570"/>
      <c r="C233" s="200">
        <f t="shared" si="326"/>
        <v>18</v>
      </c>
      <c r="D233" s="201">
        <f t="shared" si="322"/>
        <v>12</v>
      </c>
      <c r="E233" s="202">
        <f t="shared" ca="1" si="309"/>
        <v>50952</v>
      </c>
      <c r="F233" s="203">
        <f>IF(Dashboard!$Q$5="Float",F232+Dashboard!$R$5/12,F232)</f>
        <v>0.04</v>
      </c>
      <c r="G233" s="204">
        <f t="shared" si="290"/>
        <v>216</v>
      </c>
      <c r="H233" s="205">
        <f t="shared" si="291"/>
        <v>2055880.9177331689</v>
      </c>
      <c r="I233" s="205">
        <f t="shared" si="276"/>
        <v>-17903.073579954718</v>
      </c>
      <c r="J233" s="205">
        <f t="shared" si="277"/>
        <v>-6852.9363924438958</v>
      </c>
      <c r="K233" s="205">
        <f t="shared" si="292"/>
        <v>-11050.137187510823</v>
      </c>
      <c r="L233" s="205">
        <f t="shared" si="293"/>
        <v>2044830.7805456582</v>
      </c>
      <c r="M233" s="199"/>
      <c r="N233" s="200">
        <f t="shared" ca="1" si="294"/>
        <v>6</v>
      </c>
      <c r="O233" s="509">
        <f t="shared" ca="1" si="278"/>
        <v>64</v>
      </c>
      <c r="P233" s="200">
        <f t="shared" ca="1" si="279"/>
        <v>6</v>
      </c>
      <c r="Q233" s="201">
        <f t="shared" si="323"/>
        <v>12</v>
      </c>
      <c r="R233" s="202">
        <f t="shared" si="311"/>
        <v>46357</v>
      </c>
      <c r="S233" s="203">
        <f t="shared" si="295"/>
        <v>0.04</v>
      </c>
      <c r="T233" s="204">
        <f t="shared" ca="1" si="296"/>
        <v>29</v>
      </c>
      <c r="U233" s="205">
        <f t="shared" ca="1" si="297"/>
        <v>478894.03085834591</v>
      </c>
      <c r="V233" s="205">
        <f t="shared" ca="1" si="280"/>
        <v>-2387.0764773272977</v>
      </c>
      <c r="W233" s="205">
        <f t="shared" ca="1" si="281"/>
        <v>-1596.3134361944865</v>
      </c>
      <c r="X233" s="205">
        <f t="shared" ca="1" si="298"/>
        <v>-790.76304113281117</v>
      </c>
      <c r="Y233" s="205">
        <f t="shared" ca="1" si="299"/>
        <v>478103.26781721308</v>
      </c>
      <c r="Z233" s="199"/>
      <c r="AA233" s="200">
        <f t="shared" ca="1" si="287"/>
        <v>18</v>
      </c>
      <c r="AB233" s="509">
        <f t="shared" ca="1" si="282"/>
        <v>215</v>
      </c>
      <c r="AC233" s="200">
        <f t="shared" si="327"/>
        <v>18</v>
      </c>
      <c r="AD233" s="201">
        <f t="shared" si="324"/>
        <v>12</v>
      </c>
      <c r="AE233" s="202">
        <f t="shared" ca="1" si="313"/>
        <v>50952</v>
      </c>
      <c r="AF233" s="203">
        <f>IF(Dashboard!$R$24="Float",AF232+Dashboard!$R$24/12,AF232)</f>
        <v>0.06</v>
      </c>
      <c r="AG233" s="204">
        <f t="shared" si="300"/>
        <v>216</v>
      </c>
      <c r="AH233" s="205">
        <f t="shared" si="301"/>
        <v>0</v>
      </c>
      <c r="AI233" s="205">
        <f t="shared" si="284"/>
        <v>0</v>
      </c>
      <c r="AJ233" s="205">
        <f t="shared" si="285"/>
        <v>0</v>
      </c>
      <c r="AK233" s="205">
        <f t="shared" si="302"/>
        <v>0</v>
      </c>
      <c r="AL233" s="205">
        <f t="shared" si="303"/>
        <v>0</v>
      </c>
      <c r="AM233" s="199"/>
      <c r="AN233" s="200">
        <f t="shared" si="328"/>
        <v>19</v>
      </c>
      <c r="AO233" s="201">
        <f t="shared" si="325"/>
        <v>12</v>
      </c>
      <c r="AP233" s="202">
        <f t="shared" ca="1" si="315"/>
        <v>50952</v>
      </c>
      <c r="AQ233" s="203">
        <f>IF(Dashboard!$S$20="Float",AQ232+Dashboard!$T$20/12,AQ232)</f>
        <v>4.4999999999999998E-2</v>
      </c>
      <c r="AR233" s="204">
        <f t="shared" si="304"/>
        <v>216</v>
      </c>
      <c r="AS233" s="205">
        <f t="shared" si="305"/>
        <v>2023518.5639153693</v>
      </c>
      <c r="AT233" s="205">
        <f t="shared" si="288"/>
        <v>-18117.071455543854</v>
      </c>
      <c r="AU233" s="205">
        <f t="shared" si="289"/>
        <v>-7588.1946146826349</v>
      </c>
      <c r="AV233" s="205">
        <f t="shared" si="306"/>
        <v>-10528.87684086122</v>
      </c>
      <c r="AW233" s="205">
        <f t="shared" si="307"/>
        <v>2012989.6870745081</v>
      </c>
      <c r="AX233" s="199"/>
    </row>
    <row r="234" spans="1:50">
      <c r="A234" s="73"/>
      <c r="B234" s="571">
        <f>+C234</f>
        <v>19</v>
      </c>
      <c r="C234" s="16">
        <f t="shared" ref="C234" si="329">+C233+1</f>
        <v>19</v>
      </c>
      <c r="D234" s="17">
        <v>1</v>
      </c>
      <c r="E234" s="18">
        <f t="shared" ca="1" si="309"/>
        <v>50983</v>
      </c>
      <c r="F234" s="10">
        <f>IF(Dashboard!$Q$5="Float",F233+Dashboard!$R$5/12,F233)</f>
        <v>0.04</v>
      </c>
      <c r="G234" s="14">
        <f t="shared" si="290"/>
        <v>217</v>
      </c>
      <c r="H234" s="5">
        <f t="shared" si="291"/>
        <v>2044830.7805456582</v>
      </c>
      <c r="I234" s="5">
        <f t="shared" si="276"/>
        <v>-17903.073579954718</v>
      </c>
      <c r="J234" s="5">
        <f t="shared" si="277"/>
        <v>-6816.1026018188604</v>
      </c>
      <c r="K234" s="5">
        <f t="shared" si="292"/>
        <v>-11086.970978135858</v>
      </c>
      <c r="L234" s="5">
        <f t="shared" si="293"/>
        <v>2033743.8095675223</v>
      </c>
      <c r="M234" s="199"/>
      <c r="N234" s="16">
        <f t="shared" ca="1" si="294"/>
        <v>6</v>
      </c>
      <c r="O234" s="508">
        <f t="shared" ca="1" si="278"/>
        <v>65</v>
      </c>
      <c r="P234" s="16">
        <f t="shared" ca="1" si="279"/>
        <v>6</v>
      </c>
      <c r="Q234" s="17">
        <v>1</v>
      </c>
      <c r="R234" s="18">
        <f t="shared" si="311"/>
        <v>46388</v>
      </c>
      <c r="S234" s="10">
        <f t="shared" si="295"/>
        <v>0.04</v>
      </c>
      <c r="T234" s="14">
        <f t="shared" ca="1" si="296"/>
        <v>30</v>
      </c>
      <c r="U234" s="5">
        <f t="shared" ca="1" si="297"/>
        <v>478103.26781721308</v>
      </c>
      <c r="V234" s="5">
        <f t="shared" ca="1" si="280"/>
        <v>-2387.0764773272977</v>
      </c>
      <c r="W234" s="5">
        <f t="shared" ca="1" si="281"/>
        <v>-1593.6775593907103</v>
      </c>
      <c r="X234" s="5">
        <f t="shared" ca="1" si="298"/>
        <v>-793.3989179365874</v>
      </c>
      <c r="Y234" s="5">
        <f t="shared" ca="1" si="299"/>
        <v>477309.86889927648</v>
      </c>
      <c r="Z234" s="199"/>
      <c r="AA234" s="16">
        <f t="shared" ca="1" si="287"/>
        <v>18</v>
      </c>
      <c r="AB234" s="508">
        <f t="shared" ca="1" si="282"/>
        <v>216</v>
      </c>
      <c r="AC234" s="16">
        <f t="shared" ref="AC234" si="330">+AC233+1</f>
        <v>19</v>
      </c>
      <c r="AD234" s="17">
        <v>1</v>
      </c>
      <c r="AE234" s="18">
        <f t="shared" ca="1" si="313"/>
        <v>50983</v>
      </c>
      <c r="AF234" s="10">
        <f>IF(Dashboard!$R$24="Float",AF233+Dashboard!$R$24/12,AF233)</f>
        <v>0.06</v>
      </c>
      <c r="AG234" s="14">
        <f t="shared" si="300"/>
        <v>217</v>
      </c>
      <c r="AH234" s="5">
        <f t="shared" si="301"/>
        <v>0</v>
      </c>
      <c r="AI234" s="5">
        <f t="shared" si="284"/>
        <v>0</v>
      </c>
      <c r="AJ234" s="5">
        <f t="shared" si="285"/>
        <v>0</v>
      </c>
      <c r="AK234" s="5">
        <f t="shared" si="302"/>
        <v>0</v>
      </c>
      <c r="AL234" s="5">
        <f t="shared" si="303"/>
        <v>0</v>
      </c>
      <c r="AM234" s="199"/>
      <c r="AN234" s="16">
        <f t="shared" ref="AN234" si="331">+AN233+1</f>
        <v>20</v>
      </c>
      <c r="AO234" s="17">
        <v>1</v>
      </c>
      <c r="AP234" s="18">
        <f t="shared" ca="1" si="315"/>
        <v>50983</v>
      </c>
      <c r="AQ234" s="10">
        <f>IF(Dashboard!$S$20="Float",AQ233+Dashboard!$T$20/12,AQ233)</f>
        <v>4.4999999999999998E-2</v>
      </c>
      <c r="AR234" s="14">
        <f t="shared" si="304"/>
        <v>217</v>
      </c>
      <c r="AS234" s="5">
        <f t="shared" si="305"/>
        <v>2012989.6870745081</v>
      </c>
      <c r="AT234" s="5">
        <f t="shared" si="288"/>
        <v>-18117.07145554385</v>
      </c>
      <c r="AU234" s="5">
        <f t="shared" si="289"/>
        <v>-7548.7113265294056</v>
      </c>
      <c r="AV234" s="5">
        <f t="shared" si="306"/>
        <v>-10568.360129014443</v>
      </c>
      <c r="AW234" s="5">
        <f t="shared" si="307"/>
        <v>2002421.3269454937</v>
      </c>
      <c r="AX234" s="199"/>
    </row>
    <row r="235" spans="1:50">
      <c r="A235" s="73"/>
      <c r="B235" s="572"/>
      <c r="C235" s="16">
        <f>+C234</f>
        <v>19</v>
      </c>
      <c r="D235" s="17">
        <f>+D234+1</f>
        <v>2</v>
      </c>
      <c r="E235" s="18">
        <f t="shared" ca="1" si="309"/>
        <v>51014</v>
      </c>
      <c r="F235" s="10">
        <f>IF(Dashboard!$Q$5="Float",F234+Dashboard!$R$5/12,F234)</f>
        <v>0.04</v>
      </c>
      <c r="G235" s="14">
        <f t="shared" si="290"/>
        <v>218</v>
      </c>
      <c r="H235" s="5">
        <f t="shared" si="291"/>
        <v>2033743.8095675223</v>
      </c>
      <c r="I235" s="5">
        <f t="shared" si="276"/>
        <v>-17903.073579954715</v>
      </c>
      <c r="J235" s="5">
        <f t="shared" si="277"/>
        <v>-6779.1460318917416</v>
      </c>
      <c r="K235" s="5">
        <f t="shared" si="292"/>
        <v>-11123.927548062973</v>
      </c>
      <c r="L235" s="5">
        <f t="shared" si="293"/>
        <v>2022619.8820194593</v>
      </c>
      <c r="M235" s="199"/>
      <c r="N235" s="16">
        <f t="shared" ca="1" si="294"/>
        <v>6</v>
      </c>
      <c r="O235" s="508">
        <f t="shared" ca="1" si="278"/>
        <v>66</v>
      </c>
      <c r="P235" s="16">
        <f t="shared" ca="1" si="279"/>
        <v>6</v>
      </c>
      <c r="Q235" s="17">
        <f>+Q234+1</f>
        <v>2</v>
      </c>
      <c r="R235" s="18">
        <f t="shared" si="311"/>
        <v>46419</v>
      </c>
      <c r="S235" s="10">
        <f t="shared" si="295"/>
        <v>0.04</v>
      </c>
      <c r="T235" s="14">
        <f t="shared" ca="1" si="296"/>
        <v>31</v>
      </c>
      <c r="U235" s="5">
        <f t="shared" ca="1" si="297"/>
        <v>477309.86889927648</v>
      </c>
      <c r="V235" s="5">
        <f t="shared" ca="1" si="280"/>
        <v>-2387.0764773272977</v>
      </c>
      <c r="W235" s="5">
        <f t="shared" ca="1" si="281"/>
        <v>-1591.0328963309219</v>
      </c>
      <c r="X235" s="5">
        <f t="shared" ca="1" si="298"/>
        <v>-796.04358099637579</v>
      </c>
      <c r="Y235" s="5">
        <f t="shared" ca="1" si="299"/>
        <v>476513.82531828008</v>
      </c>
      <c r="Z235" s="199"/>
      <c r="AA235" s="16">
        <f t="shared" ca="1" si="287"/>
        <v>19</v>
      </c>
      <c r="AB235" s="508">
        <f t="shared" ca="1" si="282"/>
        <v>217</v>
      </c>
      <c r="AC235" s="16">
        <f>+AC234</f>
        <v>19</v>
      </c>
      <c r="AD235" s="17">
        <f>+AD234+1</f>
        <v>2</v>
      </c>
      <c r="AE235" s="18">
        <f t="shared" ca="1" si="313"/>
        <v>51014</v>
      </c>
      <c r="AF235" s="10">
        <f>IF(Dashboard!$R$24="Float",AF234+Dashboard!$R$24/12,AF234)</f>
        <v>0.06</v>
      </c>
      <c r="AG235" s="14">
        <f t="shared" si="300"/>
        <v>218</v>
      </c>
      <c r="AH235" s="5">
        <f t="shared" si="301"/>
        <v>0</v>
      </c>
      <c r="AI235" s="5">
        <f t="shared" si="284"/>
        <v>0</v>
      </c>
      <c r="AJ235" s="5">
        <f t="shared" si="285"/>
        <v>0</v>
      </c>
      <c r="AK235" s="5">
        <f t="shared" si="302"/>
        <v>0</v>
      </c>
      <c r="AL235" s="5">
        <f t="shared" si="303"/>
        <v>0</v>
      </c>
      <c r="AM235" s="199"/>
      <c r="AN235" s="16">
        <f>+AN234</f>
        <v>20</v>
      </c>
      <c r="AO235" s="17">
        <f>+AO234+1</f>
        <v>2</v>
      </c>
      <c r="AP235" s="18">
        <f t="shared" ca="1" si="315"/>
        <v>51014</v>
      </c>
      <c r="AQ235" s="10">
        <f>IF(Dashboard!$S$20="Float",AQ234+Dashboard!$T$20/12,AQ234)</f>
        <v>4.4999999999999998E-2</v>
      </c>
      <c r="AR235" s="14">
        <f t="shared" si="304"/>
        <v>218</v>
      </c>
      <c r="AS235" s="5">
        <f t="shared" si="305"/>
        <v>2002421.3269454937</v>
      </c>
      <c r="AT235" s="5">
        <f t="shared" si="288"/>
        <v>-18117.071455543857</v>
      </c>
      <c r="AU235" s="5">
        <f t="shared" si="289"/>
        <v>-7509.0799760456002</v>
      </c>
      <c r="AV235" s="5">
        <f t="shared" si="306"/>
        <v>-10607.991479498258</v>
      </c>
      <c r="AW235" s="5">
        <f t="shared" si="307"/>
        <v>1991813.3354659954</v>
      </c>
      <c r="AX235" s="199"/>
    </row>
    <row r="236" spans="1:50">
      <c r="A236" s="73"/>
      <c r="B236" s="572"/>
      <c r="C236" s="16">
        <f>+C235</f>
        <v>19</v>
      </c>
      <c r="D236" s="17">
        <f>+D235+1</f>
        <v>3</v>
      </c>
      <c r="E236" s="18">
        <f t="shared" ca="1" si="309"/>
        <v>51044</v>
      </c>
      <c r="F236" s="10">
        <f>IF(Dashboard!$Q$5="Float",F235+Dashboard!$R$5/12,F235)</f>
        <v>0.04</v>
      </c>
      <c r="G236" s="14">
        <f t="shared" si="290"/>
        <v>219</v>
      </c>
      <c r="H236" s="5">
        <f t="shared" si="291"/>
        <v>2022619.8820194593</v>
      </c>
      <c r="I236" s="5">
        <f t="shared" si="276"/>
        <v>-17903.073579954718</v>
      </c>
      <c r="J236" s="5">
        <f t="shared" si="277"/>
        <v>-6742.0662733981981</v>
      </c>
      <c r="K236" s="5">
        <f t="shared" si="292"/>
        <v>-11161.007306556519</v>
      </c>
      <c r="L236" s="5">
        <f t="shared" si="293"/>
        <v>2011458.8747129028</v>
      </c>
      <c r="M236" s="199"/>
      <c r="N236" s="16">
        <f t="shared" ca="1" si="294"/>
        <v>6</v>
      </c>
      <c r="O236" s="508">
        <f t="shared" ca="1" si="278"/>
        <v>67</v>
      </c>
      <c r="P236" s="16">
        <f t="shared" ca="1" si="279"/>
        <v>6</v>
      </c>
      <c r="Q236" s="17">
        <f>+Q235+1</f>
        <v>3</v>
      </c>
      <c r="R236" s="18">
        <f t="shared" si="311"/>
        <v>46447</v>
      </c>
      <c r="S236" s="10">
        <f t="shared" si="295"/>
        <v>0.04</v>
      </c>
      <c r="T236" s="14">
        <f t="shared" ca="1" si="296"/>
        <v>32</v>
      </c>
      <c r="U236" s="5">
        <f t="shared" ca="1" si="297"/>
        <v>476513.82531828008</v>
      </c>
      <c r="V236" s="5">
        <f t="shared" ca="1" si="280"/>
        <v>-2387.0764773272981</v>
      </c>
      <c r="W236" s="5">
        <f t="shared" ca="1" si="281"/>
        <v>-1588.3794177276004</v>
      </c>
      <c r="X236" s="5">
        <f t="shared" ca="1" si="298"/>
        <v>-798.6970595996977</v>
      </c>
      <c r="Y236" s="5">
        <f t="shared" ca="1" si="299"/>
        <v>475715.1282586804</v>
      </c>
      <c r="Z236" s="199"/>
      <c r="AA236" s="16">
        <f t="shared" ca="1" si="287"/>
        <v>19</v>
      </c>
      <c r="AB236" s="508">
        <f t="shared" ca="1" si="282"/>
        <v>218</v>
      </c>
      <c r="AC236" s="16">
        <f>+AC235</f>
        <v>19</v>
      </c>
      <c r="AD236" s="17">
        <f>+AD235+1</f>
        <v>3</v>
      </c>
      <c r="AE236" s="18">
        <f t="shared" ca="1" si="313"/>
        <v>51044</v>
      </c>
      <c r="AF236" s="10">
        <f>IF(Dashboard!$R$24="Float",AF235+Dashboard!$R$24/12,AF235)</f>
        <v>0.06</v>
      </c>
      <c r="AG236" s="14">
        <f t="shared" si="300"/>
        <v>219</v>
      </c>
      <c r="AH236" s="5">
        <f t="shared" si="301"/>
        <v>0</v>
      </c>
      <c r="AI236" s="5">
        <f t="shared" si="284"/>
        <v>0</v>
      </c>
      <c r="AJ236" s="5">
        <f t="shared" si="285"/>
        <v>0</v>
      </c>
      <c r="AK236" s="5">
        <f t="shared" si="302"/>
        <v>0</v>
      </c>
      <c r="AL236" s="5">
        <f t="shared" si="303"/>
        <v>0</v>
      </c>
      <c r="AM236" s="199"/>
      <c r="AN236" s="16">
        <f>+AN235</f>
        <v>20</v>
      </c>
      <c r="AO236" s="17">
        <f>+AO235+1</f>
        <v>3</v>
      </c>
      <c r="AP236" s="18">
        <f t="shared" ca="1" si="315"/>
        <v>51044</v>
      </c>
      <c r="AQ236" s="10">
        <f>IF(Dashboard!$S$20="Float",AQ235+Dashboard!$T$20/12,AQ235)</f>
        <v>4.4999999999999998E-2</v>
      </c>
      <c r="AR236" s="14">
        <f t="shared" si="304"/>
        <v>219</v>
      </c>
      <c r="AS236" s="5">
        <f t="shared" si="305"/>
        <v>1991813.3354659954</v>
      </c>
      <c r="AT236" s="5">
        <f t="shared" si="288"/>
        <v>-18117.071455543854</v>
      </c>
      <c r="AU236" s="5">
        <f t="shared" si="289"/>
        <v>-7469.3000079974818</v>
      </c>
      <c r="AV236" s="5">
        <f t="shared" si="306"/>
        <v>-10647.771447546373</v>
      </c>
      <c r="AW236" s="5">
        <f t="shared" si="307"/>
        <v>1981165.564018449</v>
      </c>
      <c r="AX236" s="199"/>
    </row>
    <row r="237" spans="1:50">
      <c r="A237" s="73"/>
      <c r="B237" s="572"/>
      <c r="C237" s="16">
        <f>+C236</f>
        <v>19</v>
      </c>
      <c r="D237" s="17">
        <f t="shared" ref="D237:D245" si="332">+D236+1</f>
        <v>4</v>
      </c>
      <c r="E237" s="18">
        <f t="shared" ca="1" si="309"/>
        <v>51075</v>
      </c>
      <c r="F237" s="10">
        <f>IF(Dashboard!$Q$5="Float",F236+Dashboard!$R$5/12,F236)</f>
        <v>0.04</v>
      </c>
      <c r="G237" s="14">
        <f t="shared" si="290"/>
        <v>220</v>
      </c>
      <c r="H237" s="5">
        <f t="shared" si="291"/>
        <v>2011458.8747129028</v>
      </c>
      <c r="I237" s="5">
        <f t="shared" si="276"/>
        <v>-17903.073579954718</v>
      </c>
      <c r="J237" s="5">
        <f t="shared" si="277"/>
        <v>-6704.8629157096766</v>
      </c>
      <c r="K237" s="5">
        <f t="shared" si="292"/>
        <v>-11198.210664245042</v>
      </c>
      <c r="L237" s="5">
        <f t="shared" si="293"/>
        <v>2000260.6640486578</v>
      </c>
      <c r="M237" s="199"/>
      <c r="N237" s="16">
        <f t="shared" ca="1" si="294"/>
        <v>6</v>
      </c>
      <c r="O237" s="508">
        <f t="shared" ca="1" si="278"/>
        <v>68</v>
      </c>
      <c r="P237" s="16">
        <f t="shared" ca="1" si="279"/>
        <v>6</v>
      </c>
      <c r="Q237" s="17">
        <f t="shared" ref="Q237:Q245" si="333">+Q236+1</f>
        <v>4</v>
      </c>
      <c r="R237" s="18">
        <f t="shared" si="311"/>
        <v>46478</v>
      </c>
      <c r="S237" s="10">
        <f t="shared" si="295"/>
        <v>0.04</v>
      </c>
      <c r="T237" s="14">
        <f t="shared" ca="1" si="296"/>
        <v>33</v>
      </c>
      <c r="U237" s="5">
        <f t="shared" ca="1" si="297"/>
        <v>475715.1282586804</v>
      </c>
      <c r="V237" s="5">
        <f t="shared" ca="1" si="280"/>
        <v>-2387.0764773272977</v>
      </c>
      <c r="W237" s="5">
        <f t="shared" ca="1" si="281"/>
        <v>-1585.7170941956012</v>
      </c>
      <c r="X237" s="5">
        <f t="shared" ca="1" si="298"/>
        <v>-801.3593831316964</v>
      </c>
      <c r="Y237" s="5">
        <f t="shared" ca="1" si="299"/>
        <v>474913.76887554873</v>
      </c>
      <c r="Z237" s="199"/>
      <c r="AA237" s="16">
        <f t="shared" ca="1" si="287"/>
        <v>19</v>
      </c>
      <c r="AB237" s="508">
        <f t="shared" ca="1" si="282"/>
        <v>219</v>
      </c>
      <c r="AC237" s="16">
        <f>+AC236</f>
        <v>19</v>
      </c>
      <c r="AD237" s="17">
        <f t="shared" ref="AD237:AD245" si="334">+AD236+1</f>
        <v>4</v>
      </c>
      <c r="AE237" s="18">
        <f t="shared" ca="1" si="313"/>
        <v>51075</v>
      </c>
      <c r="AF237" s="10">
        <f>IF(Dashboard!$R$24="Float",AF236+Dashboard!$R$24/12,AF236)</f>
        <v>0.06</v>
      </c>
      <c r="AG237" s="14">
        <f t="shared" si="300"/>
        <v>220</v>
      </c>
      <c r="AH237" s="5">
        <f t="shared" si="301"/>
        <v>0</v>
      </c>
      <c r="AI237" s="5">
        <f t="shared" si="284"/>
        <v>0</v>
      </c>
      <c r="AJ237" s="5">
        <f t="shared" si="285"/>
        <v>0</v>
      </c>
      <c r="AK237" s="5">
        <f t="shared" si="302"/>
        <v>0</v>
      </c>
      <c r="AL237" s="5">
        <f t="shared" si="303"/>
        <v>0</v>
      </c>
      <c r="AM237" s="199"/>
      <c r="AN237" s="16">
        <f>+AN236</f>
        <v>20</v>
      </c>
      <c r="AO237" s="17">
        <f t="shared" ref="AO237:AO245" si="335">+AO236+1</f>
        <v>4</v>
      </c>
      <c r="AP237" s="18">
        <f t="shared" ca="1" si="315"/>
        <v>51075</v>
      </c>
      <c r="AQ237" s="10">
        <f>IF(Dashboard!$S$20="Float",AQ236+Dashboard!$T$20/12,AQ236)</f>
        <v>4.4999999999999998E-2</v>
      </c>
      <c r="AR237" s="14">
        <f t="shared" si="304"/>
        <v>220</v>
      </c>
      <c r="AS237" s="5">
        <f t="shared" si="305"/>
        <v>1981165.564018449</v>
      </c>
      <c r="AT237" s="5">
        <f t="shared" si="288"/>
        <v>-18117.071455543854</v>
      </c>
      <c r="AU237" s="5">
        <f t="shared" si="289"/>
        <v>-7429.3708650691842</v>
      </c>
      <c r="AV237" s="5">
        <f t="shared" si="306"/>
        <v>-10687.700590474669</v>
      </c>
      <c r="AW237" s="5">
        <f t="shared" si="307"/>
        <v>1970477.8634279743</v>
      </c>
      <c r="AX237" s="199"/>
    </row>
    <row r="238" spans="1:50">
      <c r="A238" s="73"/>
      <c r="B238" s="572"/>
      <c r="C238" s="16">
        <f t="shared" ref="C238:C245" si="336">+C237</f>
        <v>19</v>
      </c>
      <c r="D238" s="17">
        <f t="shared" si="332"/>
        <v>5</v>
      </c>
      <c r="E238" s="18">
        <f t="shared" ca="1" si="309"/>
        <v>51105</v>
      </c>
      <c r="F238" s="10">
        <f>IF(Dashboard!$Q$5="Float",F237+Dashboard!$R$5/12,F237)</f>
        <v>0.04</v>
      </c>
      <c r="G238" s="14">
        <f t="shared" si="290"/>
        <v>221</v>
      </c>
      <c r="H238" s="5">
        <f t="shared" si="291"/>
        <v>2000260.6640486578</v>
      </c>
      <c r="I238" s="5">
        <f t="shared" si="276"/>
        <v>-17903.073579954722</v>
      </c>
      <c r="J238" s="5">
        <f t="shared" si="277"/>
        <v>-6667.535546828859</v>
      </c>
      <c r="K238" s="5">
        <f t="shared" si="292"/>
        <v>-11235.538033125864</v>
      </c>
      <c r="L238" s="5">
        <f t="shared" si="293"/>
        <v>1989025.1260155318</v>
      </c>
      <c r="M238" s="199"/>
      <c r="N238" s="16">
        <f t="shared" ca="1" si="294"/>
        <v>6</v>
      </c>
      <c r="O238" s="508">
        <f t="shared" ca="1" si="278"/>
        <v>69</v>
      </c>
      <c r="P238" s="16">
        <f t="shared" ca="1" si="279"/>
        <v>6</v>
      </c>
      <c r="Q238" s="17">
        <f t="shared" si="333"/>
        <v>5</v>
      </c>
      <c r="R238" s="18">
        <f t="shared" si="311"/>
        <v>46508</v>
      </c>
      <c r="S238" s="10">
        <f t="shared" si="295"/>
        <v>0.04</v>
      </c>
      <c r="T238" s="14">
        <f t="shared" ca="1" si="296"/>
        <v>34</v>
      </c>
      <c r="U238" s="5">
        <f t="shared" ca="1" si="297"/>
        <v>474913.76887554873</v>
      </c>
      <c r="V238" s="5">
        <f t="shared" ca="1" si="280"/>
        <v>-2387.0764773272981</v>
      </c>
      <c r="W238" s="5">
        <f t="shared" ca="1" si="281"/>
        <v>-1583.0458962518289</v>
      </c>
      <c r="X238" s="5">
        <f t="shared" ca="1" si="298"/>
        <v>-804.03058107546917</v>
      </c>
      <c r="Y238" s="5">
        <f t="shared" ca="1" si="299"/>
        <v>474109.73829447327</v>
      </c>
      <c r="Z238" s="199"/>
      <c r="AA238" s="16">
        <f t="shared" ca="1" si="287"/>
        <v>19</v>
      </c>
      <c r="AB238" s="508">
        <f t="shared" ca="1" si="282"/>
        <v>220</v>
      </c>
      <c r="AC238" s="16">
        <f t="shared" ref="AC238:AC245" si="337">+AC237</f>
        <v>19</v>
      </c>
      <c r="AD238" s="17">
        <f t="shared" si="334"/>
        <v>5</v>
      </c>
      <c r="AE238" s="18">
        <f t="shared" ca="1" si="313"/>
        <v>51105</v>
      </c>
      <c r="AF238" s="10">
        <f>IF(Dashboard!$R$24="Float",AF237+Dashboard!$R$24/12,AF237)</f>
        <v>0.06</v>
      </c>
      <c r="AG238" s="14">
        <f t="shared" si="300"/>
        <v>221</v>
      </c>
      <c r="AH238" s="5">
        <f t="shared" si="301"/>
        <v>0</v>
      </c>
      <c r="AI238" s="5">
        <f t="shared" si="284"/>
        <v>0</v>
      </c>
      <c r="AJ238" s="5">
        <f t="shared" si="285"/>
        <v>0</v>
      </c>
      <c r="AK238" s="5">
        <f t="shared" si="302"/>
        <v>0</v>
      </c>
      <c r="AL238" s="5">
        <f t="shared" si="303"/>
        <v>0</v>
      </c>
      <c r="AM238" s="199"/>
      <c r="AN238" s="16">
        <f t="shared" ref="AN238:AN245" si="338">+AN237</f>
        <v>20</v>
      </c>
      <c r="AO238" s="17">
        <f t="shared" si="335"/>
        <v>5</v>
      </c>
      <c r="AP238" s="18">
        <f t="shared" ca="1" si="315"/>
        <v>51105</v>
      </c>
      <c r="AQ238" s="10">
        <f>IF(Dashboard!$S$20="Float",AQ237+Dashboard!$T$20/12,AQ237)</f>
        <v>4.4999999999999998E-2</v>
      </c>
      <c r="AR238" s="14">
        <f t="shared" si="304"/>
        <v>221</v>
      </c>
      <c r="AS238" s="5">
        <f t="shared" si="305"/>
        <v>1970477.8634279743</v>
      </c>
      <c r="AT238" s="5">
        <f t="shared" si="288"/>
        <v>-18117.071455543846</v>
      </c>
      <c r="AU238" s="5">
        <f t="shared" si="289"/>
        <v>-7389.2919878549037</v>
      </c>
      <c r="AV238" s="5">
        <f t="shared" si="306"/>
        <v>-10727.779467688943</v>
      </c>
      <c r="AW238" s="5">
        <f t="shared" si="307"/>
        <v>1959750.0839602854</v>
      </c>
      <c r="AX238" s="199"/>
    </row>
    <row r="239" spans="1:50">
      <c r="A239" s="73"/>
      <c r="B239" s="572"/>
      <c r="C239" s="16">
        <f t="shared" si="336"/>
        <v>19</v>
      </c>
      <c r="D239" s="17">
        <f t="shared" si="332"/>
        <v>6</v>
      </c>
      <c r="E239" s="18">
        <f t="shared" ca="1" si="309"/>
        <v>51136</v>
      </c>
      <c r="F239" s="10">
        <f>IF(Dashboard!$Q$5="Float",F238+Dashboard!$R$5/12,F238)</f>
        <v>0.04</v>
      </c>
      <c r="G239" s="14">
        <f t="shared" si="290"/>
        <v>222</v>
      </c>
      <c r="H239" s="5">
        <f t="shared" si="291"/>
        <v>1989025.1260155318</v>
      </c>
      <c r="I239" s="5">
        <f t="shared" si="276"/>
        <v>-17903.073579954718</v>
      </c>
      <c r="J239" s="5">
        <f t="shared" si="277"/>
        <v>-6630.0837533851054</v>
      </c>
      <c r="K239" s="5">
        <f t="shared" si="292"/>
        <v>-11272.989826569614</v>
      </c>
      <c r="L239" s="5">
        <f t="shared" si="293"/>
        <v>1977752.1361889623</v>
      </c>
      <c r="M239" s="199"/>
      <c r="N239" s="16">
        <f t="shared" ca="1" si="294"/>
        <v>6</v>
      </c>
      <c r="O239" s="508">
        <f t="shared" ca="1" si="278"/>
        <v>70</v>
      </c>
      <c r="P239" s="16">
        <f t="shared" ca="1" si="279"/>
        <v>6</v>
      </c>
      <c r="Q239" s="17">
        <f t="shared" si="333"/>
        <v>6</v>
      </c>
      <c r="R239" s="18">
        <f t="shared" si="311"/>
        <v>46539</v>
      </c>
      <c r="S239" s="10">
        <f t="shared" si="295"/>
        <v>0.04</v>
      </c>
      <c r="T239" s="14">
        <f t="shared" ca="1" si="296"/>
        <v>35</v>
      </c>
      <c r="U239" s="5">
        <f t="shared" ca="1" si="297"/>
        <v>474109.73829447327</v>
      </c>
      <c r="V239" s="5">
        <f t="shared" ca="1" si="280"/>
        <v>-2387.0764773272981</v>
      </c>
      <c r="W239" s="5">
        <f t="shared" ca="1" si="281"/>
        <v>-1580.365794314911</v>
      </c>
      <c r="X239" s="5">
        <f t="shared" ca="1" si="298"/>
        <v>-806.71068301238711</v>
      </c>
      <c r="Y239" s="5">
        <f t="shared" ca="1" si="299"/>
        <v>473303.02761146089</v>
      </c>
      <c r="Z239" s="199"/>
      <c r="AA239" s="16">
        <f t="shared" ca="1" si="287"/>
        <v>19</v>
      </c>
      <c r="AB239" s="508">
        <f t="shared" ca="1" si="282"/>
        <v>221</v>
      </c>
      <c r="AC239" s="16">
        <f t="shared" si="337"/>
        <v>19</v>
      </c>
      <c r="AD239" s="17">
        <f t="shared" si="334"/>
        <v>6</v>
      </c>
      <c r="AE239" s="18">
        <f t="shared" ca="1" si="313"/>
        <v>51136</v>
      </c>
      <c r="AF239" s="10">
        <f>IF(Dashboard!$R$24="Float",AF238+Dashboard!$R$24/12,AF238)</f>
        <v>0.06</v>
      </c>
      <c r="AG239" s="14">
        <f t="shared" si="300"/>
        <v>222</v>
      </c>
      <c r="AH239" s="5">
        <f t="shared" si="301"/>
        <v>0</v>
      </c>
      <c r="AI239" s="5">
        <f t="shared" si="284"/>
        <v>0</v>
      </c>
      <c r="AJ239" s="5">
        <f t="shared" si="285"/>
        <v>0</v>
      </c>
      <c r="AK239" s="5">
        <f t="shared" si="302"/>
        <v>0</v>
      </c>
      <c r="AL239" s="5">
        <f t="shared" si="303"/>
        <v>0</v>
      </c>
      <c r="AM239" s="199"/>
      <c r="AN239" s="16">
        <f t="shared" si="338"/>
        <v>20</v>
      </c>
      <c r="AO239" s="17">
        <f t="shared" si="335"/>
        <v>6</v>
      </c>
      <c r="AP239" s="18">
        <f t="shared" ca="1" si="315"/>
        <v>51136</v>
      </c>
      <c r="AQ239" s="10">
        <f>IF(Dashboard!$S$20="Float",AQ238+Dashboard!$T$20/12,AQ238)</f>
        <v>4.4999999999999998E-2</v>
      </c>
      <c r="AR239" s="14">
        <f t="shared" si="304"/>
        <v>222</v>
      </c>
      <c r="AS239" s="5">
        <f t="shared" si="305"/>
        <v>1959750.0839602854</v>
      </c>
      <c r="AT239" s="5">
        <f t="shared" si="288"/>
        <v>-18117.071455543854</v>
      </c>
      <c r="AU239" s="5">
        <f t="shared" si="289"/>
        <v>-7349.0628148510696</v>
      </c>
      <c r="AV239" s="5">
        <f t="shared" si="306"/>
        <v>-10768.008640692784</v>
      </c>
      <c r="AW239" s="5">
        <f t="shared" si="307"/>
        <v>1948982.0753195926</v>
      </c>
      <c r="AX239" s="199"/>
    </row>
    <row r="240" spans="1:50">
      <c r="A240" s="73"/>
      <c r="B240" s="572"/>
      <c r="C240" s="16">
        <f t="shared" si="336"/>
        <v>19</v>
      </c>
      <c r="D240" s="17">
        <f t="shared" si="332"/>
        <v>7</v>
      </c>
      <c r="E240" s="18">
        <f t="shared" ca="1" si="309"/>
        <v>51167</v>
      </c>
      <c r="F240" s="10">
        <f>IF(Dashboard!$Q$5="Float",F239+Dashboard!$R$5/12,F239)</f>
        <v>0.04</v>
      </c>
      <c r="G240" s="14">
        <f t="shared" si="290"/>
        <v>223</v>
      </c>
      <c r="H240" s="5">
        <f t="shared" si="291"/>
        <v>1977752.1361889623</v>
      </c>
      <c r="I240" s="5">
        <f t="shared" si="276"/>
        <v>-17903.073579954722</v>
      </c>
      <c r="J240" s="5">
        <f t="shared" si="277"/>
        <v>-6592.5071206298744</v>
      </c>
      <c r="K240" s="5">
        <f t="shared" si="292"/>
        <v>-11310.566459324848</v>
      </c>
      <c r="L240" s="5">
        <f t="shared" si="293"/>
        <v>1966441.5697296374</v>
      </c>
      <c r="M240" s="199"/>
      <c r="N240" s="16">
        <f t="shared" ca="1" si="294"/>
        <v>6</v>
      </c>
      <c r="O240" s="508">
        <f t="shared" ca="1" si="278"/>
        <v>71</v>
      </c>
      <c r="P240" s="16">
        <f t="shared" ca="1" si="279"/>
        <v>6</v>
      </c>
      <c r="Q240" s="17">
        <f t="shared" si="333"/>
        <v>7</v>
      </c>
      <c r="R240" s="18">
        <f t="shared" si="311"/>
        <v>46569</v>
      </c>
      <c r="S240" s="10">
        <f t="shared" si="295"/>
        <v>0.04</v>
      </c>
      <c r="T240" s="14">
        <f t="shared" ca="1" si="296"/>
        <v>36</v>
      </c>
      <c r="U240" s="5">
        <f t="shared" ca="1" si="297"/>
        <v>473303.02761146089</v>
      </c>
      <c r="V240" s="5">
        <f t="shared" ca="1" si="280"/>
        <v>-2387.0764773272981</v>
      </c>
      <c r="W240" s="5">
        <f t="shared" ca="1" si="281"/>
        <v>-1577.6767587048696</v>
      </c>
      <c r="X240" s="5">
        <f t="shared" ca="1" si="298"/>
        <v>-809.39971862242851</v>
      </c>
      <c r="Y240" s="5">
        <f t="shared" ca="1" si="299"/>
        <v>472493.62789283844</v>
      </c>
      <c r="Z240" s="199"/>
      <c r="AA240" s="16">
        <f t="shared" ca="1" si="287"/>
        <v>19</v>
      </c>
      <c r="AB240" s="508">
        <f t="shared" ca="1" si="282"/>
        <v>222</v>
      </c>
      <c r="AC240" s="16">
        <f t="shared" si="337"/>
        <v>19</v>
      </c>
      <c r="AD240" s="17">
        <f t="shared" si="334"/>
        <v>7</v>
      </c>
      <c r="AE240" s="18">
        <f t="shared" ca="1" si="313"/>
        <v>51167</v>
      </c>
      <c r="AF240" s="10">
        <f>IF(Dashboard!$R$24="Float",AF239+Dashboard!$R$24/12,AF239)</f>
        <v>0.06</v>
      </c>
      <c r="AG240" s="14">
        <f t="shared" si="300"/>
        <v>223</v>
      </c>
      <c r="AH240" s="5">
        <f t="shared" si="301"/>
        <v>0</v>
      </c>
      <c r="AI240" s="5">
        <f t="shared" si="284"/>
        <v>0</v>
      </c>
      <c r="AJ240" s="5">
        <f t="shared" si="285"/>
        <v>0</v>
      </c>
      <c r="AK240" s="5">
        <f t="shared" si="302"/>
        <v>0</v>
      </c>
      <c r="AL240" s="5">
        <f t="shared" si="303"/>
        <v>0</v>
      </c>
      <c r="AM240" s="199"/>
      <c r="AN240" s="16">
        <f t="shared" si="338"/>
        <v>20</v>
      </c>
      <c r="AO240" s="17">
        <f t="shared" si="335"/>
        <v>7</v>
      </c>
      <c r="AP240" s="18">
        <f t="shared" ca="1" si="315"/>
        <v>51167</v>
      </c>
      <c r="AQ240" s="10">
        <f>IF(Dashboard!$S$20="Float",AQ239+Dashboard!$T$20/12,AQ239)</f>
        <v>4.4999999999999998E-2</v>
      </c>
      <c r="AR240" s="14">
        <f t="shared" si="304"/>
        <v>223</v>
      </c>
      <c r="AS240" s="5">
        <f t="shared" si="305"/>
        <v>1948982.0753195926</v>
      </c>
      <c r="AT240" s="5">
        <f t="shared" si="288"/>
        <v>-18117.071455543854</v>
      </c>
      <c r="AU240" s="5">
        <f t="shared" si="289"/>
        <v>-7308.6827824484717</v>
      </c>
      <c r="AV240" s="5">
        <f t="shared" si="306"/>
        <v>-10808.388673095382</v>
      </c>
      <c r="AW240" s="5">
        <f t="shared" si="307"/>
        <v>1938173.6866464973</v>
      </c>
      <c r="AX240" s="199"/>
    </row>
    <row r="241" spans="1:50">
      <c r="A241" s="73"/>
      <c r="B241" s="572"/>
      <c r="C241" s="16">
        <f t="shared" si="336"/>
        <v>19</v>
      </c>
      <c r="D241" s="17">
        <f t="shared" si="332"/>
        <v>8</v>
      </c>
      <c r="E241" s="18">
        <f t="shared" ca="1" si="309"/>
        <v>51196</v>
      </c>
      <c r="F241" s="10">
        <f>IF(Dashboard!$Q$5="Float",F240+Dashboard!$R$5/12,F240)</f>
        <v>0.04</v>
      </c>
      <c r="G241" s="14">
        <f t="shared" si="290"/>
        <v>224</v>
      </c>
      <c r="H241" s="5">
        <f t="shared" si="291"/>
        <v>1966441.5697296374</v>
      </c>
      <c r="I241" s="5">
        <f t="shared" si="276"/>
        <v>-17903.073579954722</v>
      </c>
      <c r="J241" s="5">
        <f t="shared" si="277"/>
        <v>-6554.8052324321252</v>
      </c>
      <c r="K241" s="5">
        <f t="shared" si="292"/>
        <v>-11348.268347522597</v>
      </c>
      <c r="L241" s="5">
        <f t="shared" si="293"/>
        <v>1955093.3013821146</v>
      </c>
      <c r="M241" s="199"/>
      <c r="N241" s="16">
        <f t="shared" ca="1" si="294"/>
        <v>6</v>
      </c>
      <c r="O241" s="508">
        <f t="shared" ca="1" si="278"/>
        <v>72</v>
      </c>
      <c r="P241" s="16">
        <f t="shared" ca="1" si="279"/>
        <v>7</v>
      </c>
      <c r="Q241" s="17">
        <f t="shared" si="333"/>
        <v>8</v>
      </c>
      <c r="R241" s="18">
        <f t="shared" si="311"/>
        <v>46600</v>
      </c>
      <c r="S241" s="10">
        <f t="shared" si="295"/>
        <v>0.04</v>
      </c>
      <c r="T241" s="14">
        <f t="shared" ca="1" si="296"/>
        <v>37</v>
      </c>
      <c r="U241" s="5">
        <f t="shared" ca="1" si="297"/>
        <v>472493.62789283844</v>
      </c>
      <c r="V241" s="5">
        <f t="shared" ca="1" si="280"/>
        <v>-2387.0764773272981</v>
      </c>
      <c r="W241" s="5">
        <f t="shared" ca="1" si="281"/>
        <v>-1574.9787596427948</v>
      </c>
      <c r="X241" s="5">
        <f t="shared" ca="1" si="298"/>
        <v>-812.09771768450332</v>
      </c>
      <c r="Y241" s="5">
        <f t="shared" ca="1" si="299"/>
        <v>471681.53017515392</v>
      </c>
      <c r="Z241" s="199"/>
      <c r="AA241" s="16">
        <f t="shared" ca="1" si="287"/>
        <v>19</v>
      </c>
      <c r="AB241" s="508">
        <f t="shared" ca="1" si="282"/>
        <v>223</v>
      </c>
      <c r="AC241" s="16">
        <f t="shared" si="337"/>
        <v>19</v>
      </c>
      <c r="AD241" s="17">
        <f t="shared" si="334"/>
        <v>8</v>
      </c>
      <c r="AE241" s="18">
        <f t="shared" ca="1" si="313"/>
        <v>51196</v>
      </c>
      <c r="AF241" s="10">
        <f>IF(Dashboard!$R$24="Float",AF240+Dashboard!$R$24/12,AF240)</f>
        <v>0.06</v>
      </c>
      <c r="AG241" s="14">
        <f t="shared" si="300"/>
        <v>224</v>
      </c>
      <c r="AH241" s="5">
        <f t="shared" si="301"/>
        <v>0</v>
      </c>
      <c r="AI241" s="5">
        <f t="shared" si="284"/>
        <v>0</v>
      </c>
      <c r="AJ241" s="5">
        <f t="shared" si="285"/>
        <v>0</v>
      </c>
      <c r="AK241" s="5">
        <f t="shared" si="302"/>
        <v>0</v>
      </c>
      <c r="AL241" s="5">
        <f t="shared" si="303"/>
        <v>0</v>
      </c>
      <c r="AM241" s="199"/>
      <c r="AN241" s="16">
        <f t="shared" si="338"/>
        <v>20</v>
      </c>
      <c r="AO241" s="17">
        <f t="shared" si="335"/>
        <v>8</v>
      </c>
      <c r="AP241" s="18">
        <f t="shared" ca="1" si="315"/>
        <v>51196</v>
      </c>
      <c r="AQ241" s="10">
        <f>IF(Dashboard!$S$20="Float",AQ240+Dashboard!$T$20/12,AQ240)</f>
        <v>4.4999999999999998E-2</v>
      </c>
      <c r="AR241" s="14">
        <f t="shared" si="304"/>
        <v>224</v>
      </c>
      <c r="AS241" s="5">
        <f t="shared" si="305"/>
        <v>1938173.6866464973</v>
      </c>
      <c r="AT241" s="5">
        <f t="shared" si="288"/>
        <v>-18117.071455543857</v>
      </c>
      <c r="AU241" s="5">
        <f t="shared" si="289"/>
        <v>-7268.1513249243653</v>
      </c>
      <c r="AV241" s="5">
        <f t="shared" si="306"/>
        <v>-10848.920130619492</v>
      </c>
      <c r="AW241" s="5">
        <f t="shared" si="307"/>
        <v>1927324.7665158778</v>
      </c>
      <c r="AX241" s="199"/>
    </row>
    <row r="242" spans="1:50">
      <c r="A242" s="73"/>
      <c r="B242" s="572"/>
      <c r="C242" s="16">
        <f t="shared" si="336"/>
        <v>19</v>
      </c>
      <c r="D242" s="17">
        <f t="shared" si="332"/>
        <v>9</v>
      </c>
      <c r="E242" s="18">
        <f t="shared" ca="1" si="309"/>
        <v>51227</v>
      </c>
      <c r="F242" s="10">
        <f>IF(Dashboard!$Q$5="Float",F241+Dashboard!$R$5/12,F241)</f>
        <v>0.04</v>
      </c>
      <c r="G242" s="14">
        <f t="shared" si="290"/>
        <v>225</v>
      </c>
      <c r="H242" s="5">
        <f t="shared" si="291"/>
        <v>1955093.3013821146</v>
      </c>
      <c r="I242" s="5">
        <f t="shared" si="276"/>
        <v>-17903.073579954718</v>
      </c>
      <c r="J242" s="5">
        <f t="shared" si="277"/>
        <v>-6516.9776712737157</v>
      </c>
      <c r="K242" s="5">
        <f t="shared" si="292"/>
        <v>-11386.095908681003</v>
      </c>
      <c r="L242" s="5">
        <f t="shared" si="293"/>
        <v>1943707.2054734337</v>
      </c>
      <c r="M242" s="199"/>
      <c r="N242" s="16">
        <f t="shared" ca="1" si="294"/>
        <v>7</v>
      </c>
      <c r="O242" s="508">
        <f t="shared" ca="1" si="278"/>
        <v>73</v>
      </c>
      <c r="P242" s="16">
        <f t="shared" ca="1" si="279"/>
        <v>7</v>
      </c>
      <c r="Q242" s="17">
        <f t="shared" si="333"/>
        <v>9</v>
      </c>
      <c r="R242" s="18">
        <f t="shared" si="311"/>
        <v>46631</v>
      </c>
      <c r="S242" s="10">
        <f t="shared" si="295"/>
        <v>0.04</v>
      </c>
      <c r="T242" s="14">
        <f t="shared" ca="1" si="296"/>
        <v>38</v>
      </c>
      <c r="U242" s="5">
        <f t="shared" ca="1" si="297"/>
        <v>471681.53017515392</v>
      </c>
      <c r="V242" s="5">
        <f t="shared" ca="1" si="280"/>
        <v>-2387.0764773272977</v>
      </c>
      <c r="W242" s="5">
        <f t="shared" ca="1" si="281"/>
        <v>-1572.2717672505132</v>
      </c>
      <c r="X242" s="5">
        <f t="shared" ca="1" si="298"/>
        <v>-814.80471007678443</v>
      </c>
      <c r="Y242" s="5">
        <f t="shared" ca="1" si="299"/>
        <v>470866.72546507715</v>
      </c>
      <c r="Z242" s="199"/>
      <c r="AA242" s="16">
        <f t="shared" ca="1" si="287"/>
        <v>19</v>
      </c>
      <c r="AB242" s="508">
        <f t="shared" ca="1" si="282"/>
        <v>224</v>
      </c>
      <c r="AC242" s="16">
        <f t="shared" si="337"/>
        <v>19</v>
      </c>
      <c r="AD242" s="17">
        <f t="shared" si="334"/>
        <v>9</v>
      </c>
      <c r="AE242" s="18">
        <f t="shared" ca="1" si="313"/>
        <v>51227</v>
      </c>
      <c r="AF242" s="10">
        <f>IF(Dashboard!$R$24="Float",AF241+Dashboard!$R$24/12,AF241)</f>
        <v>0.06</v>
      </c>
      <c r="AG242" s="14">
        <f t="shared" si="300"/>
        <v>225</v>
      </c>
      <c r="AH242" s="5">
        <f t="shared" si="301"/>
        <v>0</v>
      </c>
      <c r="AI242" s="5">
        <f t="shared" si="284"/>
        <v>0</v>
      </c>
      <c r="AJ242" s="5">
        <f t="shared" si="285"/>
        <v>0</v>
      </c>
      <c r="AK242" s="5">
        <f t="shared" si="302"/>
        <v>0</v>
      </c>
      <c r="AL242" s="5">
        <f t="shared" si="303"/>
        <v>0</v>
      </c>
      <c r="AM242" s="199"/>
      <c r="AN242" s="16">
        <f t="shared" si="338"/>
        <v>20</v>
      </c>
      <c r="AO242" s="17">
        <f t="shared" si="335"/>
        <v>9</v>
      </c>
      <c r="AP242" s="18">
        <f t="shared" ca="1" si="315"/>
        <v>51227</v>
      </c>
      <c r="AQ242" s="10">
        <f>IF(Dashboard!$S$20="Float",AQ241+Dashboard!$T$20/12,AQ241)</f>
        <v>4.4999999999999998E-2</v>
      </c>
      <c r="AR242" s="14">
        <f t="shared" si="304"/>
        <v>225</v>
      </c>
      <c r="AS242" s="5">
        <f t="shared" si="305"/>
        <v>1927324.7665158778</v>
      </c>
      <c r="AT242" s="5">
        <f t="shared" si="288"/>
        <v>-18117.07145554385</v>
      </c>
      <c r="AU242" s="5">
        <f t="shared" si="289"/>
        <v>-7227.467874434541</v>
      </c>
      <c r="AV242" s="5">
        <f t="shared" si="306"/>
        <v>-10889.60358110931</v>
      </c>
      <c r="AW242" s="5">
        <f t="shared" si="307"/>
        <v>1916435.1629347685</v>
      </c>
      <c r="AX242" s="199"/>
    </row>
    <row r="243" spans="1:50">
      <c r="A243" s="73"/>
      <c r="B243" s="572"/>
      <c r="C243" s="16">
        <f t="shared" si="336"/>
        <v>19</v>
      </c>
      <c r="D243" s="17">
        <f t="shared" si="332"/>
        <v>10</v>
      </c>
      <c r="E243" s="18">
        <f t="shared" ca="1" si="309"/>
        <v>51257</v>
      </c>
      <c r="F243" s="10">
        <f>IF(Dashboard!$Q$5="Float",F242+Dashboard!$R$5/12,F242)</f>
        <v>0.04</v>
      </c>
      <c r="G243" s="14">
        <f t="shared" si="290"/>
        <v>226</v>
      </c>
      <c r="H243" s="5">
        <f t="shared" si="291"/>
        <v>1943707.2054734337</v>
      </c>
      <c r="I243" s="5">
        <f t="shared" si="276"/>
        <v>-17903.073579954718</v>
      </c>
      <c r="J243" s="5">
        <f t="shared" si="277"/>
        <v>-6479.0240182447787</v>
      </c>
      <c r="K243" s="5">
        <f t="shared" si="292"/>
        <v>-11424.04956170994</v>
      </c>
      <c r="L243" s="5">
        <f t="shared" si="293"/>
        <v>1932283.1559117239</v>
      </c>
      <c r="M243" s="199"/>
      <c r="N243" s="16">
        <f t="shared" ca="1" si="294"/>
        <v>7</v>
      </c>
      <c r="O243" s="508">
        <f t="shared" ca="1" si="278"/>
        <v>74</v>
      </c>
      <c r="P243" s="16">
        <f t="shared" ca="1" si="279"/>
        <v>7</v>
      </c>
      <c r="Q243" s="17">
        <f t="shared" si="333"/>
        <v>10</v>
      </c>
      <c r="R243" s="18">
        <f t="shared" si="311"/>
        <v>46661</v>
      </c>
      <c r="S243" s="10">
        <f t="shared" si="295"/>
        <v>0.04</v>
      </c>
      <c r="T243" s="14">
        <f t="shared" ca="1" si="296"/>
        <v>39</v>
      </c>
      <c r="U243" s="5">
        <f t="shared" ca="1" si="297"/>
        <v>470866.72546507715</v>
      </c>
      <c r="V243" s="5">
        <f t="shared" ca="1" si="280"/>
        <v>-2387.0764773272977</v>
      </c>
      <c r="W243" s="5">
        <f t="shared" ca="1" si="281"/>
        <v>-1569.5557515502571</v>
      </c>
      <c r="X243" s="5">
        <f t="shared" ca="1" si="298"/>
        <v>-817.52072577704052</v>
      </c>
      <c r="Y243" s="5">
        <f t="shared" ca="1" si="299"/>
        <v>470049.20473930013</v>
      </c>
      <c r="Z243" s="199"/>
      <c r="AA243" s="16">
        <f t="shared" ca="1" si="287"/>
        <v>19</v>
      </c>
      <c r="AB243" s="508">
        <f t="shared" ca="1" si="282"/>
        <v>225</v>
      </c>
      <c r="AC243" s="16">
        <f t="shared" si="337"/>
        <v>19</v>
      </c>
      <c r="AD243" s="17">
        <f t="shared" si="334"/>
        <v>10</v>
      </c>
      <c r="AE243" s="18">
        <f t="shared" ca="1" si="313"/>
        <v>51257</v>
      </c>
      <c r="AF243" s="10">
        <f>IF(Dashboard!$R$24="Float",AF242+Dashboard!$R$24/12,AF242)</f>
        <v>0.06</v>
      </c>
      <c r="AG243" s="14">
        <f t="shared" si="300"/>
        <v>226</v>
      </c>
      <c r="AH243" s="5">
        <f t="shared" si="301"/>
        <v>0</v>
      </c>
      <c r="AI243" s="5">
        <f t="shared" si="284"/>
        <v>0</v>
      </c>
      <c r="AJ243" s="5">
        <f t="shared" si="285"/>
        <v>0</v>
      </c>
      <c r="AK243" s="5">
        <f t="shared" si="302"/>
        <v>0</v>
      </c>
      <c r="AL243" s="5">
        <f t="shared" si="303"/>
        <v>0</v>
      </c>
      <c r="AM243" s="199"/>
      <c r="AN243" s="16">
        <f t="shared" si="338"/>
        <v>20</v>
      </c>
      <c r="AO243" s="17">
        <f t="shared" si="335"/>
        <v>10</v>
      </c>
      <c r="AP243" s="18">
        <f t="shared" ca="1" si="315"/>
        <v>51257</v>
      </c>
      <c r="AQ243" s="10">
        <f>IF(Dashboard!$S$20="Float",AQ242+Dashboard!$T$20/12,AQ242)</f>
        <v>4.4999999999999998E-2</v>
      </c>
      <c r="AR243" s="14">
        <f t="shared" si="304"/>
        <v>226</v>
      </c>
      <c r="AS243" s="5">
        <f t="shared" si="305"/>
        <v>1916435.1629347685</v>
      </c>
      <c r="AT243" s="5">
        <f t="shared" si="288"/>
        <v>-18117.07145554385</v>
      </c>
      <c r="AU243" s="5">
        <f t="shared" si="289"/>
        <v>-7186.6318610053813</v>
      </c>
      <c r="AV243" s="5">
        <f t="shared" si="306"/>
        <v>-10930.439594538468</v>
      </c>
      <c r="AW243" s="5">
        <f t="shared" si="307"/>
        <v>1905504.7233402301</v>
      </c>
      <c r="AX243" s="199"/>
    </row>
    <row r="244" spans="1:50">
      <c r="A244" s="73"/>
      <c r="B244" s="572"/>
      <c r="C244" s="16">
        <f t="shared" si="336"/>
        <v>19</v>
      </c>
      <c r="D244" s="17">
        <f t="shared" si="332"/>
        <v>11</v>
      </c>
      <c r="E244" s="18">
        <f t="shared" ca="1" si="309"/>
        <v>51288</v>
      </c>
      <c r="F244" s="10">
        <f>IF(Dashboard!$Q$5="Float",F243+Dashboard!$R$5/12,F243)</f>
        <v>0.04</v>
      </c>
      <c r="G244" s="14">
        <f t="shared" si="290"/>
        <v>227</v>
      </c>
      <c r="H244" s="5">
        <f t="shared" si="291"/>
        <v>1932283.1559117239</v>
      </c>
      <c r="I244" s="5">
        <f t="shared" si="276"/>
        <v>-17903.073579954718</v>
      </c>
      <c r="J244" s="5">
        <f t="shared" si="277"/>
        <v>-6440.9438530390798</v>
      </c>
      <c r="K244" s="5">
        <f t="shared" si="292"/>
        <v>-11462.129726915638</v>
      </c>
      <c r="L244" s="5">
        <f t="shared" si="293"/>
        <v>1920821.0261848082</v>
      </c>
      <c r="M244" s="199"/>
      <c r="N244" s="16">
        <f t="shared" ca="1" si="294"/>
        <v>7</v>
      </c>
      <c r="O244" s="508">
        <f t="shared" ca="1" si="278"/>
        <v>75</v>
      </c>
      <c r="P244" s="16">
        <f t="shared" ca="1" si="279"/>
        <v>7</v>
      </c>
      <c r="Q244" s="17">
        <f t="shared" si="333"/>
        <v>11</v>
      </c>
      <c r="R244" s="18">
        <f t="shared" si="311"/>
        <v>46692</v>
      </c>
      <c r="S244" s="10">
        <f t="shared" si="295"/>
        <v>0.04</v>
      </c>
      <c r="T244" s="14">
        <f t="shared" ca="1" si="296"/>
        <v>40</v>
      </c>
      <c r="U244" s="5">
        <f t="shared" ca="1" si="297"/>
        <v>470049.20473930013</v>
      </c>
      <c r="V244" s="5">
        <f t="shared" ca="1" si="280"/>
        <v>-2387.0764773272981</v>
      </c>
      <c r="W244" s="5">
        <f t="shared" ca="1" si="281"/>
        <v>-1566.8306824643339</v>
      </c>
      <c r="X244" s="5">
        <f t="shared" ca="1" si="298"/>
        <v>-820.2457948629642</v>
      </c>
      <c r="Y244" s="5">
        <f t="shared" ca="1" si="299"/>
        <v>469228.95894443715</v>
      </c>
      <c r="Z244" s="199"/>
      <c r="AA244" s="16">
        <f t="shared" ca="1" si="287"/>
        <v>19</v>
      </c>
      <c r="AB244" s="508">
        <f t="shared" ca="1" si="282"/>
        <v>226</v>
      </c>
      <c r="AC244" s="16">
        <f t="shared" si="337"/>
        <v>19</v>
      </c>
      <c r="AD244" s="17">
        <f t="shared" si="334"/>
        <v>11</v>
      </c>
      <c r="AE244" s="18">
        <f t="shared" ca="1" si="313"/>
        <v>51288</v>
      </c>
      <c r="AF244" s="10">
        <f>IF(Dashboard!$R$24="Float",AF243+Dashboard!$R$24/12,AF243)</f>
        <v>0.06</v>
      </c>
      <c r="AG244" s="14">
        <f t="shared" si="300"/>
        <v>227</v>
      </c>
      <c r="AH244" s="5">
        <f t="shared" si="301"/>
        <v>0</v>
      </c>
      <c r="AI244" s="5">
        <f t="shared" si="284"/>
        <v>0</v>
      </c>
      <c r="AJ244" s="5">
        <f t="shared" si="285"/>
        <v>0</v>
      </c>
      <c r="AK244" s="5">
        <f t="shared" si="302"/>
        <v>0</v>
      </c>
      <c r="AL244" s="5">
        <f t="shared" si="303"/>
        <v>0</v>
      </c>
      <c r="AM244" s="199"/>
      <c r="AN244" s="16">
        <f t="shared" si="338"/>
        <v>20</v>
      </c>
      <c r="AO244" s="17">
        <f t="shared" si="335"/>
        <v>11</v>
      </c>
      <c r="AP244" s="18">
        <f t="shared" ca="1" si="315"/>
        <v>51288</v>
      </c>
      <c r="AQ244" s="10">
        <f>IF(Dashboard!$S$20="Float",AQ243+Dashboard!$T$20/12,AQ243)</f>
        <v>4.4999999999999998E-2</v>
      </c>
      <c r="AR244" s="14">
        <f t="shared" si="304"/>
        <v>227</v>
      </c>
      <c r="AS244" s="5">
        <f t="shared" si="305"/>
        <v>1905504.7233402301</v>
      </c>
      <c r="AT244" s="5">
        <f t="shared" si="288"/>
        <v>-18117.071455543857</v>
      </c>
      <c r="AU244" s="5">
        <f t="shared" si="289"/>
        <v>-7145.6427125258624</v>
      </c>
      <c r="AV244" s="5">
        <f t="shared" si="306"/>
        <v>-10971.428743017994</v>
      </c>
      <c r="AW244" s="5">
        <f t="shared" si="307"/>
        <v>1894533.294597212</v>
      </c>
      <c r="AX244" s="199"/>
    </row>
    <row r="245" spans="1:50">
      <c r="A245" s="73"/>
      <c r="B245" s="572"/>
      <c r="C245" s="16">
        <f t="shared" si="336"/>
        <v>19</v>
      </c>
      <c r="D245" s="17">
        <f t="shared" si="332"/>
        <v>12</v>
      </c>
      <c r="E245" s="18">
        <f t="shared" ca="1" si="309"/>
        <v>51318</v>
      </c>
      <c r="F245" s="10">
        <f>IF(Dashboard!$Q$5="Float",F244+Dashboard!$R$5/12,F244)</f>
        <v>0.04</v>
      </c>
      <c r="G245" s="14">
        <f t="shared" si="290"/>
        <v>228</v>
      </c>
      <c r="H245" s="5">
        <f t="shared" si="291"/>
        <v>1920821.0261848082</v>
      </c>
      <c r="I245" s="5">
        <f t="shared" si="276"/>
        <v>-17903.073579954722</v>
      </c>
      <c r="J245" s="5">
        <f t="shared" si="277"/>
        <v>-6402.7367539493607</v>
      </c>
      <c r="K245" s="5">
        <f t="shared" si="292"/>
        <v>-11500.336826005361</v>
      </c>
      <c r="L245" s="5">
        <f t="shared" si="293"/>
        <v>1909320.689358803</v>
      </c>
      <c r="M245" s="199"/>
      <c r="N245" s="16">
        <f t="shared" ca="1" si="294"/>
        <v>7</v>
      </c>
      <c r="O245" s="508">
        <f t="shared" ca="1" si="278"/>
        <v>76</v>
      </c>
      <c r="P245" s="16">
        <f t="shared" ca="1" si="279"/>
        <v>7</v>
      </c>
      <c r="Q245" s="17">
        <f t="shared" si="333"/>
        <v>12</v>
      </c>
      <c r="R245" s="18">
        <f t="shared" si="311"/>
        <v>46722</v>
      </c>
      <c r="S245" s="10">
        <f t="shared" si="295"/>
        <v>0.04</v>
      </c>
      <c r="T245" s="14">
        <f t="shared" ca="1" si="296"/>
        <v>41</v>
      </c>
      <c r="U245" s="5">
        <f t="shared" ca="1" si="297"/>
        <v>469228.95894443715</v>
      </c>
      <c r="V245" s="5">
        <f t="shared" ca="1" si="280"/>
        <v>-2387.0764773272977</v>
      </c>
      <c r="W245" s="5">
        <f t="shared" ca="1" si="281"/>
        <v>-1564.0965298147905</v>
      </c>
      <c r="X245" s="5">
        <f t="shared" ca="1" si="298"/>
        <v>-822.97994751250712</v>
      </c>
      <c r="Y245" s="5">
        <f t="shared" ca="1" si="299"/>
        <v>468405.97899692465</v>
      </c>
      <c r="Z245" s="199"/>
      <c r="AA245" s="16">
        <f t="shared" ca="1" si="287"/>
        <v>19</v>
      </c>
      <c r="AB245" s="508">
        <f t="shared" ca="1" si="282"/>
        <v>227</v>
      </c>
      <c r="AC245" s="16">
        <f t="shared" si="337"/>
        <v>19</v>
      </c>
      <c r="AD245" s="17">
        <f t="shared" si="334"/>
        <v>12</v>
      </c>
      <c r="AE245" s="18">
        <f t="shared" ca="1" si="313"/>
        <v>51318</v>
      </c>
      <c r="AF245" s="10">
        <f>IF(Dashboard!$R$24="Float",AF244+Dashboard!$R$24/12,AF244)</f>
        <v>0.06</v>
      </c>
      <c r="AG245" s="14">
        <f t="shared" si="300"/>
        <v>228</v>
      </c>
      <c r="AH245" s="5">
        <f t="shared" si="301"/>
        <v>0</v>
      </c>
      <c r="AI245" s="5">
        <f t="shared" si="284"/>
        <v>0</v>
      </c>
      <c r="AJ245" s="5">
        <f t="shared" si="285"/>
        <v>0</v>
      </c>
      <c r="AK245" s="5">
        <f t="shared" si="302"/>
        <v>0</v>
      </c>
      <c r="AL245" s="5">
        <f t="shared" si="303"/>
        <v>0</v>
      </c>
      <c r="AM245" s="199"/>
      <c r="AN245" s="16">
        <f t="shared" si="338"/>
        <v>20</v>
      </c>
      <c r="AO245" s="17">
        <f t="shared" si="335"/>
        <v>12</v>
      </c>
      <c r="AP245" s="18">
        <f t="shared" ca="1" si="315"/>
        <v>51318</v>
      </c>
      <c r="AQ245" s="10">
        <f>IF(Dashboard!$S$20="Float",AQ244+Dashboard!$T$20/12,AQ244)</f>
        <v>4.4999999999999998E-2</v>
      </c>
      <c r="AR245" s="14">
        <f t="shared" si="304"/>
        <v>228</v>
      </c>
      <c r="AS245" s="5">
        <f t="shared" si="305"/>
        <v>1894533.294597212</v>
      </c>
      <c r="AT245" s="5">
        <f t="shared" si="288"/>
        <v>-18117.071455543854</v>
      </c>
      <c r="AU245" s="5">
        <f t="shared" si="289"/>
        <v>-7104.4998547395444</v>
      </c>
      <c r="AV245" s="5">
        <f t="shared" si="306"/>
        <v>-11012.571600804309</v>
      </c>
      <c r="AW245" s="5">
        <f t="shared" si="307"/>
        <v>1883520.7229964077</v>
      </c>
      <c r="AX245" s="199"/>
    </row>
    <row r="246" spans="1:50" ht="12.75" customHeight="1">
      <c r="A246" s="73"/>
      <c r="B246" s="570">
        <f>+C246</f>
        <v>20</v>
      </c>
      <c r="C246" s="200">
        <f t="shared" ref="C246" si="339">+C245+1</f>
        <v>20</v>
      </c>
      <c r="D246" s="201">
        <v>1</v>
      </c>
      <c r="E246" s="202">
        <f t="shared" ca="1" si="309"/>
        <v>51349</v>
      </c>
      <c r="F246" s="203">
        <f>IF(Dashboard!$Q$5="Float",F245+Dashboard!$R$5/12,F245)</f>
        <v>0.04</v>
      </c>
      <c r="G246" s="204">
        <f t="shared" si="290"/>
        <v>229</v>
      </c>
      <c r="H246" s="205">
        <f t="shared" si="291"/>
        <v>1909320.689358803</v>
      </c>
      <c r="I246" s="205">
        <f t="shared" si="276"/>
        <v>-17903.073579954718</v>
      </c>
      <c r="J246" s="205">
        <f t="shared" si="277"/>
        <v>-6364.4022978626772</v>
      </c>
      <c r="K246" s="205">
        <f t="shared" si="292"/>
        <v>-11538.67128209204</v>
      </c>
      <c r="L246" s="205">
        <f t="shared" si="293"/>
        <v>1897782.0180767109</v>
      </c>
      <c r="M246" s="199"/>
      <c r="N246" s="200">
        <f t="shared" ca="1" si="294"/>
        <v>7</v>
      </c>
      <c r="O246" s="509">
        <f t="shared" ca="1" si="278"/>
        <v>77</v>
      </c>
      <c r="P246" s="200">
        <f t="shared" ca="1" si="279"/>
        <v>7</v>
      </c>
      <c r="Q246" s="201">
        <v>1</v>
      </c>
      <c r="R246" s="202">
        <f t="shared" si="311"/>
        <v>46753</v>
      </c>
      <c r="S246" s="203">
        <f t="shared" si="295"/>
        <v>0.04</v>
      </c>
      <c r="T246" s="204">
        <f t="shared" ca="1" si="296"/>
        <v>42</v>
      </c>
      <c r="U246" s="205">
        <f t="shared" ca="1" si="297"/>
        <v>468405.97899692465</v>
      </c>
      <c r="V246" s="205">
        <f t="shared" ca="1" si="280"/>
        <v>-2387.0764773272981</v>
      </c>
      <c r="W246" s="205">
        <f t="shared" ca="1" si="281"/>
        <v>-1561.3532633230823</v>
      </c>
      <c r="X246" s="205">
        <f t="shared" ca="1" si="298"/>
        <v>-825.72321400421583</v>
      </c>
      <c r="Y246" s="205">
        <f t="shared" ca="1" si="299"/>
        <v>467580.25578292046</v>
      </c>
      <c r="Z246" s="199"/>
      <c r="AA246" s="200">
        <f t="shared" ca="1" si="287"/>
        <v>19</v>
      </c>
      <c r="AB246" s="509">
        <f t="shared" ca="1" si="282"/>
        <v>228</v>
      </c>
      <c r="AC246" s="200">
        <f t="shared" ref="AC246" si="340">+AC245+1</f>
        <v>20</v>
      </c>
      <c r="AD246" s="201">
        <v>1</v>
      </c>
      <c r="AE246" s="202">
        <f t="shared" ca="1" si="313"/>
        <v>51349</v>
      </c>
      <c r="AF246" s="203">
        <f>IF(Dashboard!$R$24="Float",AF245+Dashboard!$R$24/12,AF245)</f>
        <v>0.06</v>
      </c>
      <c r="AG246" s="204">
        <f t="shared" si="300"/>
        <v>229</v>
      </c>
      <c r="AH246" s="205">
        <f t="shared" si="301"/>
        <v>0</v>
      </c>
      <c r="AI246" s="205">
        <f t="shared" si="284"/>
        <v>0</v>
      </c>
      <c r="AJ246" s="205">
        <f t="shared" si="285"/>
        <v>0</v>
      </c>
      <c r="AK246" s="205">
        <f t="shared" si="302"/>
        <v>0</v>
      </c>
      <c r="AL246" s="205">
        <f t="shared" si="303"/>
        <v>0</v>
      </c>
      <c r="AM246" s="199"/>
      <c r="AN246" s="200">
        <f t="shared" ref="AN246" si="341">+AN245+1</f>
        <v>21</v>
      </c>
      <c r="AO246" s="201">
        <v>1</v>
      </c>
      <c r="AP246" s="202">
        <f t="shared" ca="1" si="315"/>
        <v>51349</v>
      </c>
      <c r="AQ246" s="203">
        <f>IF(Dashboard!$S$20="Float",AQ245+Dashboard!$T$20/12,AQ245)</f>
        <v>4.4999999999999998E-2</v>
      </c>
      <c r="AR246" s="204">
        <f t="shared" si="304"/>
        <v>229</v>
      </c>
      <c r="AS246" s="205">
        <f t="shared" si="305"/>
        <v>1883520.7229964077</v>
      </c>
      <c r="AT246" s="205">
        <f t="shared" si="288"/>
        <v>-18117.071455543854</v>
      </c>
      <c r="AU246" s="205">
        <f t="shared" si="289"/>
        <v>-7063.2027112365286</v>
      </c>
      <c r="AV246" s="205">
        <f t="shared" si="306"/>
        <v>-11053.868744307325</v>
      </c>
      <c r="AW246" s="205">
        <f t="shared" si="307"/>
        <v>1872466.8542521002</v>
      </c>
      <c r="AX246" s="199"/>
    </row>
    <row r="247" spans="1:50">
      <c r="A247" s="73"/>
      <c r="B247" s="570"/>
      <c r="C247" s="200">
        <f>+C246</f>
        <v>20</v>
      </c>
      <c r="D247" s="201">
        <f>+D246+1</f>
        <v>2</v>
      </c>
      <c r="E247" s="202">
        <f t="shared" ca="1" si="309"/>
        <v>51380</v>
      </c>
      <c r="F247" s="203">
        <f>IF(Dashboard!$Q$5="Float",F246+Dashboard!$R$5/12,F246)</f>
        <v>0.04</v>
      </c>
      <c r="G247" s="204">
        <f t="shared" si="290"/>
        <v>230</v>
      </c>
      <c r="H247" s="205">
        <f t="shared" si="291"/>
        <v>1897782.0180767109</v>
      </c>
      <c r="I247" s="205">
        <f t="shared" si="276"/>
        <v>-17903.073579954722</v>
      </c>
      <c r="J247" s="205">
        <f t="shared" si="277"/>
        <v>-6325.9400602557034</v>
      </c>
      <c r="K247" s="205">
        <f t="shared" si="292"/>
        <v>-11577.133519699019</v>
      </c>
      <c r="L247" s="205">
        <f t="shared" si="293"/>
        <v>1886204.8845570118</v>
      </c>
      <c r="M247" s="199"/>
      <c r="N247" s="200">
        <f t="shared" ca="1" si="294"/>
        <v>7</v>
      </c>
      <c r="O247" s="509">
        <f t="shared" ca="1" si="278"/>
        <v>78</v>
      </c>
      <c r="P247" s="200">
        <f t="shared" ca="1" si="279"/>
        <v>7</v>
      </c>
      <c r="Q247" s="201">
        <f>+Q246+1</f>
        <v>2</v>
      </c>
      <c r="R247" s="202">
        <f t="shared" si="311"/>
        <v>46784</v>
      </c>
      <c r="S247" s="203">
        <f t="shared" si="295"/>
        <v>0.04</v>
      </c>
      <c r="T247" s="204">
        <f t="shared" ca="1" si="296"/>
        <v>43</v>
      </c>
      <c r="U247" s="205">
        <f t="shared" ca="1" si="297"/>
        <v>467580.25578292046</v>
      </c>
      <c r="V247" s="205">
        <f t="shared" ca="1" si="280"/>
        <v>-2387.0764773272981</v>
      </c>
      <c r="W247" s="205">
        <f t="shared" ca="1" si="281"/>
        <v>-1558.6008526097348</v>
      </c>
      <c r="X247" s="205">
        <f t="shared" ca="1" si="298"/>
        <v>-828.47562471756328</v>
      </c>
      <c r="Y247" s="205">
        <f t="shared" ca="1" si="299"/>
        <v>466751.78015820292</v>
      </c>
      <c r="Z247" s="199"/>
      <c r="AA247" s="200">
        <f t="shared" ca="1" si="287"/>
        <v>20</v>
      </c>
      <c r="AB247" s="509">
        <f t="shared" ca="1" si="282"/>
        <v>229</v>
      </c>
      <c r="AC247" s="200">
        <f>+AC246</f>
        <v>20</v>
      </c>
      <c r="AD247" s="201">
        <f>+AD246+1</f>
        <v>2</v>
      </c>
      <c r="AE247" s="202">
        <f t="shared" ca="1" si="313"/>
        <v>51380</v>
      </c>
      <c r="AF247" s="203">
        <f>IF(Dashboard!$R$24="Float",AF246+Dashboard!$R$24/12,AF246)</f>
        <v>0.06</v>
      </c>
      <c r="AG247" s="204">
        <f t="shared" si="300"/>
        <v>230</v>
      </c>
      <c r="AH247" s="205">
        <f t="shared" si="301"/>
        <v>0</v>
      </c>
      <c r="AI247" s="205">
        <f t="shared" si="284"/>
        <v>0</v>
      </c>
      <c r="AJ247" s="205">
        <f t="shared" si="285"/>
        <v>0</v>
      </c>
      <c r="AK247" s="205">
        <f t="shared" si="302"/>
        <v>0</v>
      </c>
      <c r="AL247" s="205">
        <f t="shared" si="303"/>
        <v>0</v>
      </c>
      <c r="AM247" s="199"/>
      <c r="AN247" s="200">
        <f>+AN246</f>
        <v>21</v>
      </c>
      <c r="AO247" s="201">
        <f>+AO246+1</f>
        <v>2</v>
      </c>
      <c r="AP247" s="202">
        <f t="shared" ca="1" si="315"/>
        <v>51380</v>
      </c>
      <c r="AQ247" s="203">
        <f>IF(Dashboard!$S$20="Float",AQ246+Dashboard!$T$20/12,AQ246)</f>
        <v>4.4999999999999998E-2</v>
      </c>
      <c r="AR247" s="204">
        <f t="shared" si="304"/>
        <v>230</v>
      </c>
      <c r="AS247" s="205">
        <f t="shared" si="305"/>
        <v>1872466.8542521002</v>
      </c>
      <c r="AT247" s="205">
        <f t="shared" si="288"/>
        <v>-18117.07145554385</v>
      </c>
      <c r="AU247" s="205">
        <f t="shared" si="289"/>
        <v>-7021.7507034453747</v>
      </c>
      <c r="AV247" s="205">
        <f t="shared" si="306"/>
        <v>-11095.320752098476</v>
      </c>
      <c r="AW247" s="205">
        <f t="shared" si="307"/>
        <v>1861371.5335000018</v>
      </c>
      <c r="AX247" s="199"/>
    </row>
    <row r="248" spans="1:50">
      <c r="A248" s="73"/>
      <c r="B248" s="570"/>
      <c r="C248" s="200">
        <f>+C247</f>
        <v>20</v>
      </c>
      <c r="D248" s="201">
        <f>+D247+1</f>
        <v>3</v>
      </c>
      <c r="E248" s="202">
        <f t="shared" ca="1" si="309"/>
        <v>51410</v>
      </c>
      <c r="F248" s="203">
        <f>IF(Dashboard!$Q$5="Float",F247+Dashboard!$R$5/12,F247)</f>
        <v>0.04</v>
      </c>
      <c r="G248" s="204">
        <f t="shared" si="290"/>
        <v>231</v>
      </c>
      <c r="H248" s="205">
        <f t="shared" si="291"/>
        <v>1886204.8845570118</v>
      </c>
      <c r="I248" s="205">
        <f t="shared" si="276"/>
        <v>-17903.073579954718</v>
      </c>
      <c r="J248" s="205">
        <f t="shared" si="277"/>
        <v>-6287.3496151900399</v>
      </c>
      <c r="K248" s="205">
        <f t="shared" si="292"/>
        <v>-11615.723964764678</v>
      </c>
      <c r="L248" s="205">
        <f t="shared" si="293"/>
        <v>1874589.160592247</v>
      </c>
      <c r="M248" s="199"/>
      <c r="N248" s="200">
        <f t="shared" ca="1" si="294"/>
        <v>7</v>
      </c>
      <c r="O248" s="509">
        <f t="shared" ca="1" si="278"/>
        <v>79</v>
      </c>
      <c r="P248" s="200">
        <f t="shared" ca="1" si="279"/>
        <v>7</v>
      </c>
      <c r="Q248" s="201">
        <f>+Q247+1</f>
        <v>3</v>
      </c>
      <c r="R248" s="202">
        <f t="shared" si="311"/>
        <v>46813</v>
      </c>
      <c r="S248" s="203">
        <f t="shared" si="295"/>
        <v>0.04</v>
      </c>
      <c r="T248" s="204">
        <f t="shared" ca="1" si="296"/>
        <v>44</v>
      </c>
      <c r="U248" s="205">
        <f t="shared" ca="1" si="297"/>
        <v>466751.78015820292</v>
      </c>
      <c r="V248" s="205">
        <f t="shared" ca="1" si="280"/>
        <v>-2387.0764773272981</v>
      </c>
      <c r="W248" s="205">
        <f t="shared" ca="1" si="281"/>
        <v>-1555.8392671940098</v>
      </c>
      <c r="X248" s="205">
        <f t="shared" ca="1" si="298"/>
        <v>-831.23721013328827</v>
      </c>
      <c r="Y248" s="205">
        <f t="shared" ca="1" si="299"/>
        <v>465920.54294806963</v>
      </c>
      <c r="Z248" s="199"/>
      <c r="AA248" s="200">
        <f t="shared" ca="1" si="287"/>
        <v>20</v>
      </c>
      <c r="AB248" s="509">
        <f t="shared" ca="1" si="282"/>
        <v>230</v>
      </c>
      <c r="AC248" s="200">
        <f>+AC247</f>
        <v>20</v>
      </c>
      <c r="AD248" s="201">
        <f>+AD247+1</f>
        <v>3</v>
      </c>
      <c r="AE248" s="202">
        <f t="shared" ca="1" si="313"/>
        <v>51410</v>
      </c>
      <c r="AF248" s="203">
        <f>IF(Dashboard!$R$24="Float",AF247+Dashboard!$R$24/12,AF247)</f>
        <v>0.06</v>
      </c>
      <c r="AG248" s="204">
        <f t="shared" si="300"/>
        <v>231</v>
      </c>
      <c r="AH248" s="205">
        <f t="shared" si="301"/>
        <v>0</v>
      </c>
      <c r="AI248" s="205">
        <f t="shared" si="284"/>
        <v>0</v>
      </c>
      <c r="AJ248" s="205">
        <f t="shared" si="285"/>
        <v>0</v>
      </c>
      <c r="AK248" s="205">
        <f t="shared" si="302"/>
        <v>0</v>
      </c>
      <c r="AL248" s="205">
        <f t="shared" si="303"/>
        <v>0</v>
      </c>
      <c r="AM248" s="199"/>
      <c r="AN248" s="200">
        <f>+AN247</f>
        <v>21</v>
      </c>
      <c r="AO248" s="201">
        <f>+AO247+1</f>
        <v>3</v>
      </c>
      <c r="AP248" s="202">
        <f t="shared" ca="1" si="315"/>
        <v>51410</v>
      </c>
      <c r="AQ248" s="203">
        <f>IF(Dashboard!$S$20="Float",AQ247+Dashboard!$T$20/12,AQ247)</f>
        <v>4.4999999999999998E-2</v>
      </c>
      <c r="AR248" s="204">
        <f t="shared" si="304"/>
        <v>231</v>
      </c>
      <c r="AS248" s="205">
        <f t="shared" si="305"/>
        <v>1861371.5335000018</v>
      </c>
      <c r="AT248" s="205">
        <f t="shared" si="288"/>
        <v>-18117.07145554385</v>
      </c>
      <c r="AU248" s="205">
        <f t="shared" si="289"/>
        <v>-6980.1432506250067</v>
      </c>
      <c r="AV248" s="205">
        <f t="shared" si="306"/>
        <v>-11136.928204918844</v>
      </c>
      <c r="AW248" s="205">
        <f t="shared" si="307"/>
        <v>1850234.605295083</v>
      </c>
      <c r="AX248" s="199"/>
    </row>
    <row r="249" spans="1:50">
      <c r="A249" s="73"/>
      <c r="B249" s="570"/>
      <c r="C249" s="200">
        <f>+C248</f>
        <v>20</v>
      </c>
      <c r="D249" s="201">
        <f t="shared" ref="D249:D257" si="342">+D248+1</f>
        <v>4</v>
      </c>
      <c r="E249" s="202">
        <f t="shared" ca="1" si="309"/>
        <v>51441</v>
      </c>
      <c r="F249" s="203">
        <f>IF(Dashboard!$Q$5="Float",F248+Dashboard!$R$5/12,F248)</f>
        <v>0.04</v>
      </c>
      <c r="G249" s="204">
        <f t="shared" si="290"/>
        <v>232</v>
      </c>
      <c r="H249" s="205">
        <f t="shared" si="291"/>
        <v>1874589.160592247</v>
      </c>
      <c r="I249" s="205">
        <f t="shared" si="276"/>
        <v>-17903.073579954718</v>
      </c>
      <c r="J249" s="205">
        <f t="shared" si="277"/>
        <v>-6248.6305353074904</v>
      </c>
      <c r="K249" s="205">
        <f t="shared" si="292"/>
        <v>-11654.443044647229</v>
      </c>
      <c r="L249" s="205">
        <f t="shared" si="293"/>
        <v>1862934.7175475997</v>
      </c>
      <c r="M249" s="199"/>
      <c r="N249" s="200">
        <f t="shared" ca="1" si="294"/>
        <v>7</v>
      </c>
      <c r="O249" s="509">
        <f t="shared" ca="1" si="278"/>
        <v>80</v>
      </c>
      <c r="P249" s="200">
        <f t="shared" ca="1" si="279"/>
        <v>7</v>
      </c>
      <c r="Q249" s="201">
        <f t="shared" ref="Q249:Q257" si="343">+Q248+1</f>
        <v>4</v>
      </c>
      <c r="R249" s="202">
        <f t="shared" si="311"/>
        <v>46844</v>
      </c>
      <c r="S249" s="203">
        <f t="shared" si="295"/>
        <v>0.04</v>
      </c>
      <c r="T249" s="204">
        <f t="shared" ca="1" si="296"/>
        <v>45</v>
      </c>
      <c r="U249" s="205">
        <f t="shared" ca="1" si="297"/>
        <v>465920.54294806963</v>
      </c>
      <c r="V249" s="205">
        <f t="shared" ca="1" si="280"/>
        <v>-2387.0764773272981</v>
      </c>
      <c r="W249" s="205">
        <f t="shared" ca="1" si="281"/>
        <v>-1553.0684764935656</v>
      </c>
      <c r="X249" s="205">
        <f t="shared" ca="1" si="298"/>
        <v>-834.00800083373247</v>
      </c>
      <c r="Y249" s="205">
        <f t="shared" ca="1" si="299"/>
        <v>465086.53494723589</v>
      </c>
      <c r="Z249" s="199"/>
      <c r="AA249" s="200">
        <f t="shared" ca="1" si="287"/>
        <v>20</v>
      </c>
      <c r="AB249" s="509">
        <f t="shared" ca="1" si="282"/>
        <v>231</v>
      </c>
      <c r="AC249" s="200">
        <f>+AC248</f>
        <v>20</v>
      </c>
      <c r="AD249" s="201">
        <f t="shared" ref="AD249:AD257" si="344">+AD248+1</f>
        <v>4</v>
      </c>
      <c r="AE249" s="202">
        <f t="shared" ca="1" si="313"/>
        <v>51441</v>
      </c>
      <c r="AF249" s="203">
        <f>IF(Dashboard!$R$24="Float",AF248+Dashboard!$R$24/12,AF248)</f>
        <v>0.06</v>
      </c>
      <c r="AG249" s="204">
        <f t="shared" si="300"/>
        <v>232</v>
      </c>
      <c r="AH249" s="205">
        <f t="shared" si="301"/>
        <v>0</v>
      </c>
      <c r="AI249" s="205">
        <f t="shared" si="284"/>
        <v>0</v>
      </c>
      <c r="AJ249" s="205">
        <f t="shared" si="285"/>
        <v>0</v>
      </c>
      <c r="AK249" s="205">
        <f t="shared" si="302"/>
        <v>0</v>
      </c>
      <c r="AL249" s="205">
        <f t="shared" si="303"/>
        <v>0</v>
      </c>
      <c r="AM249" s="199"/>
      <c r="AN249" s="200">
        <f>+AN248</f>
        <v>21</v>
      </c>
      <c r="AO249" s="201">
        <f t="shared" ref="AO249:AO257" si="345">+AO248+1</f>
        <v>4</v>
      </c>
      <c r="AP249" s="202">
        <f t="shared" ca="1" si="315"/>
        <v>51441</v>
      </c>
      <c r="AQ249" s="203">
        <f>IF(Dashboard!$S$20="Float",AQ248+Dashboard!$T$20/12,AQ248)</f>
        <v>4.4999999999999998E-2</v>
      </c>
      <c r="AR249" s="204">
        <f t="shared" si="304"/>
        <v>232</v>
      </c>
      <c r="AS249" s="205">
        <f t="shared" si="305"/>
        <v>1850234.605295083</v>
      </c>
      <c r="AT249" s="205">
        <f t="shared" si="288"/>
        <v>-18117.07145554385</v>
      </c>
      <c r="AU249" s="205">
        <f t="shared" si="289"/>
        <v>-6938.3797698565613</v>
      </c>
      <c r="AV249" s="205">
        <f t="shared" si="306"/>
        <v>-11178.691685687289</v>
      </c>
      <c r="AW249" s="205">
        <f t="shared" si="307"/>
        <v>1839055.9136093957</v>
      </c>
      <c r="AX249" s="199"/>
    </row>
    <row r="250" spans="1:50">
      <c r="A250" s="73"/>
      <c r="B250" s="570"/>
      <c r="C250" s="200">
        <f t="shared" ref="C250:C257" si="346">+C249</f>
        <v>20</v>
      </c>
      <c r="D250" s="201">
        <f t="shared" si="342"/>
        <v>5</v>
      </c>
      <c r="E250" s="202">
        <f t="shared" ca="1" si="309"/>
        <v>51471</v>
      </c>
      <c r="F250" s="203">
        <f>IF(Dashboard!$Q$5="Float",F249+Dashboard!$R$5/12,F249)</f>
        <v>0.04</v>
      </c>
      <c r="G250" s="204">
        <f t="shared" si="290"/>
        <v>233</v>
      </c>
      <c r="H250" s="205">
        <f t="shared" si="291"/>
        <v>1862934.7175475997</v>
      </c>
      <c r="I250" s="205">
        <f t="shared" si="276"/>
        <v>-17903.073579954715</v>
      </c>
      <c r="J250" s="205">
        <f t="shared" si="277"/>
        <v>-6209.7823918253316</v>
      </c>
      <c r="K250" s="205">
        <f t="shared" si="292"/>
        <v>-11693.291188129384</v>
      </c>
      <c r="L250" s="205">
        <f t="shared" si="293"/>
        <v>1851241.4263594702</v>
      </c>
      <c r="M250" s="199"/>
      <c r="N250" s="200">
        <f t="shared" ca="1" si="294"/>
        <v>7</v>
      </c>
      <c r="O250" s="509">
        <f t="shared" ca="1" si="278"/>
        <v>81</v>
      </c>
      <c r="P250" s="200">
        <f t="shared" ca="1" si="279"/>
        <v>7</v>
      </c>
      <c r="Q250" s="201">
        <f t="shared" si="343"/>
        <v>5</v>
      </c>
      <c r="R250" s="202">
        <f t="shared" si="311"/>
        <v>46874</v>
      </c>
      <c r="S250" s="203">
        <f t="shared" si="295"/>
        <v>0.04</v>
      </c>
      <c r="T250" s="204">
        <f t="shared" ca="1" si="296"/>
        <v>46</v>
      </c>
      <c r="U250" s="205">
        <f t="shared" ca="1" si="297"/>
        <v>465086.53494723589</v>
      </c>
      <c r="V250" s="205">
        <f t="shared" ca="1" si="280"/>
        <v>-2387.0764773272981</v>
      </c>
      <c r="W250" s="205">
        <f t="shared" ca="1" si="281"/>
        <v>-1550.2884498241199</v>
      </c>
      <c r="X250" s="205">
        <f t="shared" ca="1" si="298"/>
        <v>-836.78802750317823</v>
      </c>
      <c r="Y250" s="205">
        <f t="shared" ca="1" si="299"/>
        <v>464249.74691973272</v>
      </c>
      <c r="Z250" s="199"/>
      <c r="AA250" s="200">
        <f t="shared" ca="1" si="287"/>
        <v>20</v>
      </c>
      <c r="AB250" s="509">
        <f t="shared" ca="1" si="282"/>
        <v>232</v>
      </c>
      <c r="AC250" s="200">
        <f t="shared" ref="AC250:AC257" si="347">+AC249</f>
        <v>20</v>
      </c>
      <c r="AD250" s="201">
        <f t="shared" si="344"/>
        <v>5</v>
      </c>
      <c r="AE250" s="202">
        <f t="shared" ca="1" si="313"/>
        <v>51471</v>
      </c>
      <c r="AF250" s="203">
        <f>IF(Dashboard!$R$24="Float",AF249+Dashboard!$R$24/12,AF249)</f>
        <v>0.06</v>
      </c>
      <c r="AG250" s="204">
        <f t="shared" si="300"/>
        <v>233</v>
      </c>
      <c r="AH250" s="205">
        <f t="shared" si="301"/>
        <v>0</v>
      </c>
      <c r="AI250" s="205">
        <f t="shared" si="284"/>
        <v>0</v>
      </c>
      <c r="AJ250" s="205">
        <f t="shared" si="285"/>
        <v>0</v>
      </c>
      <c r="AK250" s="205">
        <f t="shared" si="302"/>
        <v>0</v>
      </c>
      <c r="AL250" s="205">
        <f t="shared" si="303"/>
        <v>0</v>
      </c>
      <c r="AM250" s="199"/>
      <c r="AN250" s="200">
        <f t="shared" ref="AN250:AN257" si="348">+AN249</f>
        <v>21</v>
      </c>
      <c r="AO250" s="201">
        <f t="shared" si="345"/>
        <v>5</v>
      </c>
      <c r="AP250" s="202">
        <f t="shared" ca="1" si="315"/>
        <v>51471</v>
      </c>
      <c r="AQ250" s="203">
        <f>IF(Dashboard!$S$20="Float",AQ249+Dashboard!$T$20/12,AQ249)</f>
        <v>4.4999999999999998E-2</v>
      </c>
      <c r="AR250" s="204">
        <f t="shared" si="304"/>
        <v>233</v>
      </c>
      <c r="AS250" s="205">
        <f t="shared" si="305"/>
        <v>1839055.9136093957</v>
      </c>
      <c r="AT250" s="205">
        <f t="shared" si="288"/>
        <v>-18117.071455543854</v>
      </c>
      <c r="AU250" s="205">
        <f t="shared" si="289"/>
        <v>-6896.4596760352333</v>
      </c>
      <c r="AV250" s="205">
        <f t="shared" si="306"/>
        <v>-11220.611779508621</v>
      </c>
      <c r="AW250" s="205">
        <f t="shared" si="307"/>
        <v>1827835.3018298871</v>
      </c>
      <c r="AX250" s="199"/>
    </row>
    <row r="251" spans="1:50">
      <c r="A251" s="73"/>
      <c r="B251" s="570"/>
      <c r="C251" s="200">
        <f t="shared" si="346"/>
        <v>20</v>
      </c>
      <c r="D251" s="201">
        <f t="shared" si="342"/>
        <v>6</v>
      </c>
      <c r="E251" s="202">
        <f t="shared" ca="1" si="309"/>
        <v>51502</v>
      </c>
      <c r="F251" s="203">
        <f>IF(Dashboard!$Q$5="Float",F250+Dashboard!$R$5/12,F250)</f>
        <v>0.04</v>
      </c>
      <c r="G251" s="204">
        <f t="shared" si="290"/>
        <v>234</v>
      </c>
      <c r="H251" s="205">
        <f t="shared" si="291"/>
        <v>1851241.4263594702</v>
      </c>
      <c r="I251" s="205">
        <f t="shared" si="276"/>
        <v>-17903.073579954711</v>
      </c>
      <c r="J251" s="205">
        <f t="shared" si="277"/>
        <v>-6170.8047545315676</v>
      </c>
      <c r="K251" s="205">
        <f t="shared" si="292"/>
        <v>-11732.268825423143</v>
      </c>
      <c r="L251" s="205">
        <f t="shared" si="293"/>
        <v>1839509.157534047</v>
      </c>
      <c r="M251" s="199"/>
      <c r="N251" s="200">
        <f t="shared" ca="1" si="294"/>
        <v>7</v>
      </c>
      <c r="O251" s="509">
        <f t="shared" ca="1" si="278"/>
        <v>82</v>
      </c>
      <c r="P251" s="200">
        <f t="shared" ca="1" si="279"/>
        <v>7</v>
      </c>
      <c r="Q251" s="201">
        <f t="shared" si="343"/>
        <v>6</v>
      </c>
      <c r="R251" s="202">
        <f t="shared" si="311"/>
        <v>46905</v>
      </c>
      <c r="S251" s="203">
        <f t="shared" si="295"/>
        <v>0.04</v>
      </c>
      <c r="T251" s="204">
        <f t="shared" ca="1" si="296"/>
        <v>47</v>
      </c>
      <c r="U251" s="205">
        <f t="shared" ca="1" si="297"/>
        <v>464249.74691973272</v>
      </c>
      <c r="V251" s="205">
        <f t="shared" ca="1" si="280"/>
        <v>-2387.0764773272981</v>
      </c>
      <c r="W251" s="205">
        <f t="shared" ca="1" si="281"/>
        <v>-1547.4991563991091</v>
      </c>
      <c r="X251" s="205">
        <f t="shared" ca="1" si="298"/>
        <v>-839.57732092818901</v>
      </c>
      <c r="Y251" s="205">
        <f t="shared" ca="1" si="299"/>
        <v>463410.16959880455</v>
      </c>
      <c r="Z251" s="199"/>
      <c r="AA251" s="200">
        <f t="shared" ca="1" si="287"/>
        <v>20</v>
      </c>
      <c r="AB251" s="509">
        <f t="shared" ca="1" si="282"/>
        <v>233</v>
      </c>
      <c r="AC251" s="200">
        <f t="shared" si="347"/>
        <v>20</v>
      </c>
      <c r="AD251" s="201">
        <f t="shared" si="344"/>
        <v>6</v>
      </c>
      <c r="AE251" s="202">
        <f t="shared" ca="1" si="313"/>
        <v>51502</v>
      </c>
      <c r="AF251" s="203">
        <f>IF(Dashboard!$R$24="Float",AF250+Dashboard!$R$24/12,AF250)</f>
        <v>0.06</v>
      </c>
      <c r="AG251" s="204">
        <f t="shared" si="300"/>
        <v>234</v>
      </c>
      <c r="AH251" s="205">
        <f t="shared" si="301"/>
        <v>0</v>
      </c>
      <c r="AI251" s="205">
        <f t="shared" si="284"/>
        <v>0</v>
      </c>
      <c r="AJ251" s="205">
        <f t="shared" si="285"/>
        <v>0</v>
      </c>
      <c r="AK251" s="205">
        <f t="shared" si="302"/>
        <v>0</v>
      </c>
      <c r="AL251" s="205">
        <f t="shared" si="303"/>
        <v>0</v>
      </c>
      <c r="AM251" s="199"/>
      <c r="AN251" s="200">
        <f t="shared" si="348"/>
        <v>21</v>
      </c>
      <c r="AO251" s="201">
        <f t="shared" si="345"/>
        <v>6</v>
      </c>
      <c r="AP251" s="202">
        <f t="shared" ca="1" si="315"/>
        <v>51502</v>
      </c>
      <c r="AQ251" s="203">
        <f>IF(Dashboard!$S$20="Float",AQ250+Dashboard!$T$20/12,AQ250)</f>
        <v>4.4999999999999998E-2</v>
      </c>
      <c r="AR251" s="204">
        <f t="shared" si="304"/>
        <v>234</v>
      </c>
      <c r="AS251" s="205">
        <f t="shared" si="305"/>
        <v>1827835.3018298871</v>
      </c>
      <c r="AT251" s="205">
        <f t="shared" si="288"/>
        <v>-18117.071455543854</v>
      </c>
      <c r="AU251" s="205">
        <f t="shared" si="289"/>
        <v>-6854.3823818620767</v>
      </c>
      <c r="AV251" s="205">
        <f t="shared" si="306"/>
        <v>-11262.689073681777</v>
      </c>
      <c r="AW251" s="205">
        <f t="shared" si="307"/>
        <v>1816572.6127562053</v>
      </c>
      <c r="AX251" s="199"/>
    </row>
    <row r="252" spans="1:50">
      <c r="A252" s="73"/>
      <c r="B252" s="570"/>
      <c r="C252" s="200">
        <f t="shared" si="346"/>
        <v>20</v>
      </c>
      <c r="D252" s="201">
        <f t="shared" si="342"/>
        <v>7</v>
      </c>
      <c r="E252" s="202">
        <f t="shared" ca="1" si="309"/>
        <v>51533</v>
      </c>
      <c r="F252" s="203">
        <f>IF(Dashboard!$Q$5="Float",F251+Dashboard!$R$5/12,F251)</f>
        <v>0.04</v>
      </c>
      <c r="G252" s="204">
        <f t="shared" si="290"/>
        <v>235</v>
      </c>
      <c r="H252" s="205">
        <f t="shared" si="291"/>
        <v>1839509.157534047</v>
      </c>
      <c r="I252" s="205">
        <f t="shared" si="276"/>
        <v>-17903.073579954718</v>
      </c>
      <c r="J252" s="205">
        <f t="shared" si="277"/>
        <v>-6131.6971917801566</v>
      </c>
      <c r="K252" s="205">
        <f t="shared" si="292"/>
        <v>-11771.376388174562</v>
      </c>
      <c r="L252" s="205">
        <f t="shared" si="293"/>
        <v>1827737.7811458725</v>
      </c>
      <c r="M252" s="199"/>
      <c r="N252" s="200">
        <f t="shared" ca="1" si="294"/>
        <v>7</v>
      </c>
      <c r="O252" s="509">
        <f t="shared" ca="1" si="278"/>
        <v>83</v>
      </c>
      <c r="P252" s="200">
        <f t="shared" ca="1" si="279"/>
        <v>7</v>
      </c>
      <c r="Q252" s="201">
        <f t="shared" si="343"/>
        <v>7</v>
      </c>
      <c r="R252" s="202">
        <f t="shared" si="311"/>
        <v>46935</v>
      </c>
      <c r="S252" s="203">
        <f t="shared" si="295"/>
        <v>0.04</v>
      </c>
      <c r="T252" s="204">
        <f t="shared" ca="1" si="296"/>
        <v>48</v>
      </c>
      <c r="U252" s="205">
        <f t="shared" ca="1" si="297"/>
        <v>463410.16959880455</v>
      </c>
      <c r="V252" s="205">
        <f t="shared" ca="1" si="280"/>
        <v>-2387.0764773272981</v>
      </c>
      <c r="W252" s="205">
        <f t="shared" ca="1" si="281"/>
        <v>-1544.7005653293484</v>
      </c>
      <c r="X252" s="205">
        <f t="shared" ca="1" si="298"/>
        <v>-842.37591199794974</v>
      </c>
      <c r="Y252" s="205">
        <f t="shared" ca="1" si="299"/>
        <v>462567.79368680663</v>
      </c>
      <c r="Z252" s="199"/>
      <c r="AA252" s="200">
        <f t="shared" ca="1" si="287"/>
        <v>20</v>
      </c>
      <c r="AB252" s="509">
        <f t="shared" ca="1" si="282"/>
        <v>234</v>
      </c>
      <c r="AC252" s="200">
        <f t="shared" si="347"/>
        <v>20</v>
      </c>
      <c r="AD252" s="201">
        <f t="shared" si="344"/>
        <v>7</v>
      </c>
      <c r="AE252" s="202">
        <f t="shared" ca="1" si="313"/>
        <v>51533</v>
      </c>
      <c r="AF252" s="203">
        <f>IF(Dashboard!$R$24="Float",AF251+Dashboard!$R$24/12,AF251)</f>
        <v>0.06</v>
      </c>
      <c r="AG252" s="204">
        <f t="shared" si="300"/>
        <v>235</v>
      </c>
      <c r="AH252" s="205">
        <f t="shared" si="301"/>
        <v>0</v>
      </c>
      <c r="AI252" s="205">
        <f t="shared" si="284"/>
        <v>0</v>
      </c>
      <c r="AJ252" s="205">
        <f t="shared" si="285"/>
        <v>0</v>
      </c>
      <c r="AK252" s="205">
        <f t="shared" si="302"/>
        <v>0</v>
      </c>
      <c r="AL252" s="205">
        <f t="shared" si="303"/>
        <v>0</v>
      </c>
      <c r="AM252" s="199"/>
      <c r="AN252" s="200">
        <f t="shared" si="348"/>
        <v>21</v>
      </c>
      <c r="AO252" s="201">
        <f t="shared" si="345"/>
        <v>7</v>
      </c>
      <c r="AP252" s="202">
        <f t="shared" ca="1" si="315"/>
        <v>51533</v>
      </c>
      <c r="AQ252" s="203">
        <f>IF(Dashboard!$S$20="Float",AQ251+Dashboard!$T$20/12,AQ251)</f>
        <v>4.4999999999999998E-2</v>
      </c>
      <c r="AR252" s="204">
        <f t="shared" si="304"/>
        <v>235</v>
      </c>
      <c r="AS252" s="205">
        <f t="shared" si="305"/>
        <v>1816572.6127562053</v>
      </c>
      <c r="AT252" s="205">
        <f t="shared" si="288"/>
        <v>-18117.07145554385</v>
      </c>
      <c r="AU252" s="205">
        <f t="shared" si="289"/>
        <v>-6812.1472978357697</v>
      </c>
      <c r="AV252" s="205">
        <f t="shared" si="306"/>
        <v>-11304.924157708079</v>
      </c>
      <c r="AW252" s="205">
        <f t="shared" si="307"/>
        <v>1805267.6885984971</v>
      </c>
      <c r="AX252" s="199"/>
    </row>
    <row r="253" spans="1:50">
      <c r="A253" s="73"/>
      <c r="B253" s="570"/>
      <c r="C253" s="200">
        <f t="shared" si="346"/>
        <v>20</v>
      </c>
      <c r="D253" s="201">
        <f t="shared" si="342"/>
        <v>8</v>
      </c>
      <c r="E253" s="202">
        <f t="shared" ca="1" si="309"/>
        <v>51561</v>
      </c>
      <c r="F253" s="203">
        <f>IF(Dashboard!$Q$5="Float",F252+Dashboard!$R$5/12,F252)</f>
        <v>0.04</v>
      </c>
      <c r="G253" s="204">
        <f t="shared" si="290"/>
        <v>236</v>
      </c>
      <c r="H253" s="205">
        <f t="shared" si="291"/>
        <v>1827737.7811458725</v>
      </c>
      <c r="I253" s="205">
        <f t="shared" si="276"/>
        <v>-17903.073579954711</v>
      </c>
      <c r="J253" s="205">
        <f t="shared" si="277"/>
        <v>-6092.4592704862416</v>
      </c>
      <c r="K253" s="205">
        <f t="shared" si="292"/>
        <v>-11810.61430946847</v>
      </c>
      <c r="L253" s="205">
        <f t="shared" si="293"/>
        <v>1815927.166836404</v>
      </c>
      <c r="M253" s="199"/>
      <c r="N253" s="200">
        <f t="shared" ca="1" si="294"/>
        <v>7</v>
      </c>
      <c r="O253" s="509">
        <f t="shared" ca="1" si="278"/>
        <v>84</v>
      </c>
      <c r="P253" s="200">
        <f t="shared" ca="1" si="279"/>
        <v>8</v>
      </c>
      <c r="Q253" s="201">
        <f t="shared" si="343"/>
        <v>8</v>
      </c>
      <c r="R253" s="202">
        <f t="shared" si="311"/>
        <v>46966</v>
      </c>
      <c r="S253" s="203">
        <f t="shared" si="295"/>
        <v>0.04</v>
      </c>
      <c r="T253" s="204">
        <f t="shared" ca="1" si="296"/>
        <v>49</v>
      </c>
      <c r="U253" s="205">
        <f t="shared" ca="1" si="297"/>
        <v>462567.79368680663</v>
      </c>
      <c r="V253" s="205">
        <f t="shared" ca="1" si="280"/>
        <v>-2387.0764773272986</v>
      </c>
      <c r="W253" s="205">
        <f t="shared" ca="1" si="281"/>
        <v>-1541.8926456226889</v>
      </c>
      <c r="X253" s="205">
        <f t="shared" ca="1" si="298"/>
        <v>-845.1838317046097</v>
      </c>
      <c r="Y253" s="205">
        <f t="shared" ca="1" si="299"/>
        <v>461722.60985510203</v>
      </c>
      <c r="Z253" s="199"/>
      <c r="AA253" s="200">
        <f t="shared" ca="1" si="287"/>
        <v>20</v>
      </c>
      <c r="AB253" s="509">
        <f t="shared" ca="1" si="282"/>
        <v>235</v>
      </c>
      <c r="AC253" s="200">
        <f t="shared" si="347"/>
        <v>20</v>
      </c>
      <c r="AD253" s="201">
        <f t="shared" si="344"/>
        <v>8</v>
      </c>
      <c r="AE253" s="202">
        <f t="shared" ca="1" si="313"/>
        <v>51561</v>
      </c>
      <c r="AF253" s="203">
        <f>IF(Dashboard!$R$24="Float",AF252+Dashboard!$R$24/12,AF252)</f>
        <v>0.06</v>
      </c>
      <c r="AG253" s="204">
        <f t="shared" si="300"/>
        <v>236</v>
      </c>
      <c r="AH253" s="205">
        <f t="shared" si="301"/>
        <v>0</v>
      </c>
      <c r="AI253" s="205">
        <f t="shared" si="284"/>
        <v>0</v>
      </c>
      <c r="AJ253" s="205">
        <f t="shared" si="285"/>
        <v>0</v>
      </c>
      <c r="AK253" s="205">
        <f t="shared" si="302"/>
        <v>0</v>
      </c>
      <c r="AL253" s="205">
        <f t="shared" si="303"/>
        <v>0</v>
      </c>
      <c r="AM253" s="199"/>
      <c r="AN253" s="200">
        <f t="shared" si="348"/>
        <v>21</v>
      </c>
      <c r="AO253" s="201">
        <f t="shared" si="345"/>
        <v>8</v>
      </c>
      <c r="AP253" s="202">
        <f t="shared" ca="1" si="315"/>
        <v>51561</v>
      </c>
      <c r="AQ253" s="203">
        <f>IF(Dashboard!$S$20="Float",AQ252+Dashboard!$T$20/12,AQ252)</f>
        <v>4.4999999999999998E-2</v>
      </c>
      <c r="AR253" s="204">
        <f t="shared" si="304"/>
        <v>236</v>
      </c>
      <c r="AS253" s="205">
        <f t="shared" si="305"/>
        <v>1805267.6885984971</v>
      </c>
      <c r="AT253" s="205">
        <f t="shared" si="288"/>
        <v>-18117.07145554385</v>
      </c>
      <c r="AU253" s="205">
        <f t="shared" si="289"/>
        <v>-6769.7538322443643</v>
      </c>
      <c r="AV253" s="205">
        <f t="shared" si="306"/>
        <v>-11347.317623299485</v>
      </c>
      <c r="AW253" s="205">
        <f t="shared" si="307"/>
        <v>1793920.3709751975</v>
      </c>
      <c r="AX253" s="199"/>
    </row>
    <row r="254" spans="1:50">
      <c r="A254" s="73"/>
      <c r="B254" s="570"/>
      <c r="C254" s="200">
        <f t="shared" si="346"/>
        <v>20</v>
      </c>
      <c r="D254" s="201">
        <f t="shared" si="342"/>
        <v>9</v>
      </c>
      <c r="E254" s="202">
        <f t="shared" ca="1" si="309"/>
        <v>51592</v>
      </c>
      <c r="F254" s="203">
        <f>IF(Dashboard!$Q$5="Float",F253+Dashboard!$R$5/12,F253)</f>
        <v>0.04</v>
      </c>
      <c r="G254" s="204">
        <f t="shared" si="290"/>
        <v>237</v>
      </c>
      <c r="H254" s="205">
        <f t="shared" si="291"/>
        <v>1815927.166836404</v>
      </c>
      <c r="I254" s="205">
        <f t="shared" si="276"/>
        <v>-17903.073579954715</v>
      </c>
      <c r="J254" s="205">
        <f t="shared" si="277"/>
        <v>-6053.0905561213467</v>
      </c>
      <c r="K254" s="205">
        <f t="shared" si="292"/>
        <v>-11849.983023833367</v>
      </c>
      <c r="L254" s="205">
        <f t="shared" si="293"/>
        <v>1804077.1838125708</v>
      </c>
      <c r="M254" s="199"/>
      <c r="N254" s="200">
        <f t="shared" ca="1" si="294"/>
        <v>8</v>
      </c>
      <c r="O254" s="509">
        <f t="shared" ca="1" si="278"/>
        <v>85</v>
      </c>
      <c r="P254" s="200">
        <f t="shared" ca="1" si="279"/>
        <v>8</v>
      </c>
      <c r="Q254" s="201">
        <f t="shared" si="343"/>
        <v>9</v>
      </c>
      <c r="R254" s="202">
        <f t="shared" si="311"/>
        <v>46997</v>
      </c>
      <c r="S254" s="203">
        <f t="shared" si="295"/>
        <v>0.04</v>
      </c>
      <c r="T254" s="204">
        <f t="shared" ca="1" si="296"/>
        <v>50</v>
      </c>
      <c r="U254" s="205">
        <f t="shared" ca="1" si="297"/>
        <v>461722.60985510203</v>
      </c>
      <c r="V254" s="205">
        <f t="shared" ca="1" si="280"/>
        <v>-2387.0764773272986</v>
      </c>
      <c r="W254" s="205">
        <f t="shared" ca="1" si="281"/>
        <v>-1539.0753661836734</v>
      </c>
      <c r="X254" s="205">
        <f t="shared" ca="1" si="298"/>
        <v>-848.00111114362517</v>
      </c>
      <c r="Y254" s="205">
        <f t="shared" ca="1" si="299"/>
        <v>460874.60874395841</v>
      </c>
      <c r="Z254" s="199"/>
      <c r="AA254" s="200">
        <f t="shared" ca="1" si="287"/>
        <v>20</v>
      </c>
      <c r="AB254" s="509">
        <f t="shared" ca="1" si="282"/>
        <v>236</v>
      </c>
      <c r="AC254" s="200">
        <f t="shared" si="347"/>
        <v>20</v>
      </c>
      <c r="AD254" s="201">
        <f t="shared" si="344"/>
        <v>9</v>
      </c>
      <c r="AE254" s="202">
        <f t="shared" ca="1" si="313"/>
        <v>51592</v>
      </c>
      <c r="AF254" s="203">
        <f>IF(Dashboard!$R$24="Float",AF253+Dashboard!$R$24/12,AF253)</f>
        <v>0.06</v>
      </c>
      <c r="AG254" s="204">
        <f t="shared" si="300"/>
        <v>237</v>
      </c>
      <c r="AH254" s="205">
        <f t="shared" si="301"/>
        <v>0</v>
      </c>
      <c r="AI254" s="205">
        <f t="shared" si="284"/>
        <v>0</v>
      </c>
      <c r="AJ254" s="205">
        <f t="shared" si="285"/>
        <v>0</v>
      </c>
      <c r="AK254" s="205">
        <f t="shared" si="302"/>
        <v>0</v>
      </c>
      <c r="AL254" s="205">
        <f t="shared" si="303"/>
        <v>0</v>
      </c>
      <c r="AM254" s="199"/>
      <c r="AN254" s="200">
        <f t="shared" si="348"/>
        <v>21</v>
      </c>
      <c r="AO254" s="201">
        <f t="shared" si="345"/>
        <v>9</v>
      </c>
      <c r="AP254" s="202">
        <f t="shared" ca="1" si="315"/>
        <v>51592</v>
      </c>
      <c r="AQ254" s="203">
        <f>IF(Dashboard!$S$20="Float",AQ253+Dashboard!$T$20/12,AQ253)</f>
        <v>4.4999999999999998E-2</v>
      </c>
      <c r="AR254" s="204">
        <f t="shared" si="304"/>
        <v>237</v>
      </c>
      <c r="AS254" s="205">
        <f t="shared" si="305"/>
        <v>1793920.3709751975</v>
      </c>
      <c r="AT254" s="205">
        <f t="shared" si="288"/>
        <v>-18117.07145554385</v>
      </c>
      <c r="AU254" s="205">
        <f t="shared" si="289"/>
        <v>-6727.2013911569911</v>
      </c>
      <c r="AV254" s="205">
        <f t="shared" si="306"/>
        <v>-11389.870064386858</v>
      </c>
      <c r="AW254" s="205">
        <f t="shared" si="307"/>
        <v>1782530.5009108107</v>
      </c>
      <c r="AX254" s="199"/>
    </row>
    <row r="255" spans="1:50">
      <c r="A255" s="73"/>
      <c r="B255" s="570"/>
      <c r="C255" s="200">
        <f t="shared" si="346"/>
        <v>20</v>
      </c>
      <c r="D255" s="201">
        <f t="shared" si="342"/>
        <v>10</v>
      </c>
      <c r="E255" s="202">
        <f t="shared" ca="1" si="309"/>
        <v>51622</v>
      </c>
      <c r="F255" s="203">
        <f>IF(Dashboard!$Q$5="Float",F254+Dashboard!$R$5/12,F254)</f>
        <v>0.04</v>
      </c>
      <c r="G255" s="204">
        <f t="shared" si="290"/>
        <v>238</v>
      </c>
      <c r="H255" s="205">
        <f t="shared" si="291"/>
        <v>1804077.1838125708</v>
      </c>
      <c r="I255" s="205">
        <f t="shared" si="276"/>
        <v>-17903.073579954715</v>
      </c>
      <c r="J255" s="205">
        <f t="shared" si="277"/>
        <v>-6013.5906127085691</v>
      </c>
      <c r="K255" s="205">
        <f t="shared" si="292"/>
        <v>-11889.482967246146</v>
      </c>
      <c r="L255" s="205">
        <f t="shared" si="293"/>
        <v>1792187.7008453247</v>
      </c>
      <c r="M255" s="199"/>
      <c r="N255" s="200">
        <f t="shared" ca="1" si="294"/>
        <v>8</v>
      </c>
      <c r="O255" s="509">
        <f t="shared" ca="1" si="278"/>
        <v>86</v>
      </c>
      <c r="P255" s="200">
        <f t="shared" ca="1" si="279"/>
        <v>8</v>
      </c>
      <c r="Q255" s="201">
        <f t="shared" si="343"/>
        <v>10</v>
      </c>
      <c r="R255" s="202">
        <f t="shared" si="311"/>
        <v>47027</v>
      </c>
      <c r="S255" s="203">
        <f t="shared" si="295"/>
        <v>0.04</v>
      </c>
      <c r="T255" s="204">
        <f t="shared" ca="1" si="296"/>
        <v>51</v>
      </c>
      <c r="U255" s="205">
        <f t="shared" ca="1" si="297"/>
        <v>460874.60874395841</v>
      </c>
      <c r="V255" s="205">
        <f t="shared" ca="1" si="280"/>
        <v>-2387.0764773272986</v>
      </c>
      <c r="W255" s="205">
        <f t="shared" ca="1" si="281"/>
        <v>-1536.2486958131947</v>
      </c>
      <c r="X255" s="205">
        <f t="shared" ca="1" si="298"/>
        <v>-850.82778151410389</v>
      </c>
      <c r="Y255" s="205">
        <f t="shared" ca="1" si="299"/>
        <v>460023.78096244432</v>
      </c>
      <c r="Z255" s="199"/>
      <c r="AA255" s="200">
        <f t="shared" ca="1" si="287"/>
        <v>20</v>
      </c>
      <c r="AB255" s="509">
        <f t="shared" ca="1" si="282"/>
        <v>237</v>
      </c>
      <c r="AC255" s="200">
        <f t="shared" si="347"/>
        <v>20</v>
      </c>
      <c r="AD255" s="201">
        <f t="shared" si="344"/>
        <v>10</v>
      </c>
      <c r="AE255" s="202">
        <f t="shared" ca="1" si="313"/>
        <v>51622</v>
      </c>
      <c r="AF255" s="203">
        <f>IF(Dashboard!$R$24="Float",AF254+Dashboard!$R$24/12,AF254)</f>
        <v>0.06</v>
      </c>
      <c r="AG255" s="204">
        <f t="shared" si="300"/>
        <v>238</v>
      </c>
      <c r="AH255" s="205">
        <f t="shared" si="301"/>
        <v>0</v>
      </c>
      <c r="AI255" s="205">
        <f t="shared" si="284"/>
        <v>0</v>
      </c>
      <c r="AJ255" s="205">
        <f t="shared" si="285"/>
        <v>0</v>
      </c>
      <c r="AK255" s="205">
        <f t="shared" si="302"/>
        <v>0</v>
      </c>
      <c r="AL255" s="205">
        <f t="shared" si="303"/>
        <v>0</v>
      </c>
      <c r="AM255" s="199"/>
      <c r="AN255" s="200">
        <f t="shared" si="348"/>
        <v>21</v>
      </c>
      <c r="AO255" s="201">
        <f t="shared" si="345"/>
        <v>10</v>
      </c>
      <c r="AP255" s="202">
        <f t="shared" ca="1" si="315"/>
        <v>51622</v>
      </c>
      <c r="AQ255" s="203">
        <f>IF(Dashboard!$S$20="Float",AQ254+Dashboard!$T$20/12,AQ254)</f>
        <v>4.4999999999999998E-2</v>
      </c>
      <c r="AR255" s="204">
        <f t="shared" si="304"/>
        <v>238</v>
      </c>
      <c r="AS255" s="205">
        <f t="shared" si="305"/>
        <v>1782530.5009108107</v>
      </c>
      <c r="AT255" s="205">
        <f t="shared" si="288"/>
        <v>-18117.071455543854</v>
      </c>
      <c r="AU255" s="205">
        <f t="shared" si="289"/>
        <v>-6684.4893784155392</v>
      </c>
      <c r="AV255" s="205">
        <f t="shared" si="306"/>
        <v>-11432.582077128314</v>
      </c>
      <c r="AW255" s="205">
        <f t="shared" si="307"/>
        <v>1771097.9188336823</v>
      </c>
      <c r="AX255" s="199"/>
    </row>
    <row r="256" spans="1:50">
      <c r="A256" s="73"/>
      <c r="B256" s="570"/>
      <c r="C256" s="200">
        <f t="shared" si="346"/>
        <v>20</v>
      </c>
      <c r="D256" s="201">
        <f t="shared" si="342"/>
        <v>11</v>
      </c>
      <c r="E256" s="202">
        <f t="shared" ca="1" si="309"/>
        <v>51653</v>
      </c>
      <c r="F256" s="203">
        <f>IF(Dashboard!$Q$5="Float",F255+Dashboard!$R$5/12,F255)</f>
        <v>0.04</v>
      </c>
      <c r="G256" s="204">
        <f t="shared" si="290"/>
        <v>239</v>
      </c>
      <c r="H256" s="205">
        <f t="shared" si="291"/>
        <v>1792187.7008453247</v>
      </c>
      <c r="I256" s="205">
        <f t="shared" si="276"/>
        <v>-17903.073579954715</v>
      </c>
      <c r="J256" s="205">
        <f t="shared" si="277"/>
        <v>-5973.959002817749</v>
      </c>
      <c r="K256" s="205">
        <f t="shared" si="292"/>
        <v>-11929.114577136967</v>
      </c>
      <c r="L256" s="205">
        <f t="shared" si="293"/>
        <v>1780258.5862681877</v>
      </c>
      <c r="M256" s="199"/>
      <c r="N256" s="200">
        <f t="shared" ca="1" si="294"/>
        <v>8</v>
      </c>
      <c r="O256" s="509">
        <f t="shared" ca="1" si="278"/>
        <v>87</v>
      </c>
      <c r="P256" s="200">
        <f t="shared" ca="1" si="279"/>
        <v>8</v>
      </c>
      <c r="Q256" s="201">
        <f t="shared" si="343"/>
        <v>11</v>
      </c>
      <c r="R256" s="202">
        <f t="shared" si="311"/>
        <v>47058</v>
      </c>
      <c r="S256" s="203">
        <f t="shared" si="295"/>
        <v>0.04</v>
      </c>
      <c r="T256" s="204">
        <f t="shared" ca="1" si="296"/>
        <v>52</v>
      </c>
      <c r="U256" s="205">
        <f t="shared" ca="1" si="297"/>
        <v>460023.78096244432</v>
      </c>
      <c r="V256" s="205">
        <f t="shared" ca="1" si="280"/>
        <v>-2387.0764773272981</v>
      </c>
      <c r="W256" s="205">
        <f t="shared" ca="1" si="281"/>
        <v>-1533.4126032081476</v>
      </c>
      <c r="X256" s="205">
        <f t="shared" ca="1" si="298"/>
        <v>-853.66387411915048</v>
      </c>
      <c r="Y256" s="205">
        <f t="shared" ca="1" si="299"/>
        <v>459170.11708832515</v>
      </c>
      <c r="Z256" s="199"/>
      <c r="AA256" s="200">
        <f t="shared" ca="1" si="287"/>
        <v>20</v>
      </c>
      <c r="AB256" s="509">
        <f t="shared" ca="1" si="282"/>
        <v>238</v>
      </c>
      <c r="AC256" s="200">
        <f t="shared" si="347"/>
        <v>20</v>
      </c>
      <c r="AD256" s="201">
        <f t="shared" si="344"/>
        <v>11</v>
      </c>
      <c r="AE256" s="202">
        <f t="shared" ca="1" si="313"/>
        <v>51653</v>
      </c>
      <c r="AF256" s="203">
        <f>IF(Dashboard!$R$24="Float",AF255+Dashboard!$R$24/12,AF255)</f>
        <v>0.06</v>
      </c>
      <c r="AG256" s="204">
        <f t="shared" si="300"/>
        <v>239</v>
      </c>
      <c r="AH256" s="205">
        <f t="shared" si="301"/>
        <v>0</v>
      </c>
      <c r="AI256" s="205">
        <f t="shared" si="284"/>
        <v>0</v>
      </c>
      <c r="AJ256" s="205">
        <f t="shared" si="285"/>
        <v>0</v>
      </c>
      <c r="AK256" s="205">
        <f t="shared" si="302"/>
        <v>0</v>
      </c>
      <c r="AL256" s="205">
        <f t="shared" si="303"/>
        <v>0</v>
      </c>
      <c r="AM256" s="199"/>
      <c r="AN256" s="200">
        <f t="shared" si="348"/>
        <v>21</v>
      </c>
      <c r="AO256" s="201">
        <f t="shared" si="345"/>
        <v>11</v>
      </c>
      <c r="AP256" s="202">
        <f t="shared" ca="1" si="315"/>
        <v>51653</v>
      </c>
      <c r="AQ256" s="203">
        <f>IF(Dashboard!$S$20="Float",AQ255+Dashboard!$T$20/12,AQ255)</f>
        <v>4.4999999999999998E-2</v>
      </c>
      <c r="AR256" s="204">
        <f t="shared" si="304"/>
        <v>239</v>
      </c>
      <c r="AS256" s="205">
        <f t="shared" si="305"/>
        <v>1771097.9188336823</v>
      </c>
      <c r="AT256" s="205">
        <f t="shared" si="288"/>
        <v>-18117.071455543846</v>
      </c>
      <c r="AU256" s="205">
        <f t="shared" si="289"/>
        <v>-6641.6171956263088</v>
      </c>
      <c r="AV256" s="205">
        <f t="shared" si="306"/>
        <v>-11475.454259917537</v>
      </c>
      <c r="AW256" s="205">
        <f t="shared" si="307"/>
        <v>1759622.4645737647</v>
      </c>
      <c r="AX256" s="199"/>
    </row>
    <row r="257" spans="1:50">
      <c r="A257" s="73"/>
      <c r="B257" s="570"/>
      <c r="C257" s="200">
        <f t="shared" si="346"/>
        <v>20</v>
      </c>
      <c r="D257" s="201">
        <f t="shared" si="342"/>
        <v>12</v>
      </c>
      <c r="E257" s="202">
        <f t="shared" ca="1" si="309"/>
        <v>51683</v>
      </c>
      <c r="F257" s="203">
        <f>IF(Dashboard!$Q$5="Float",F256+Dashboard!$R$5/12,F256)</f>
        <v>0.04</v>
      </c>
      <c r="G257" s="204">
        <f t="shared" si="290"/>
        <v>240</v>
      </c>
      <c r="H257" s="205">
        <f t="shared" si="291"/>
        <v>1780258.5862681877</v>
      </c>
      <c r="I257" s="205">
        <f t="shared" si="276"/>
        <v>-17903.073579954718</v>
      </c>
      <c r="J257" s="205">
        <f t="shared" si="277"/>
        <v>-5934.1952875606257</v>
      </c>
      <c r="K257" s="205">
        <f t="shared" si="292"/>
        <v>-11968.878292394093</v>
      </c>
      <c r="L257" s="205">
        <f t="shared" si="293"/>
        <v>1768289.7079757936</v>
      </c>
      <c r="M257" s="199"/>
      <c r="N257" s="200">
        <f t="shared" ca="1" si="294"/>
        <v>8</v>
      </c>
      <c r="O257" s="509">
        <f t="shared" ca="1" si="278"/>
        <v>88</v>
      </c>
      <c r="P257" s="200">
        <f t="shared" ca="1" si="279"/>
        <v>8</v>
      </c>
      <c r="Q257" s="201">
        <f t="shared" si="343"/>
        <v>12</v>
      </c>
      <c r="R257" s="202">
        <f t="shared" si="311"/>
        <v>47088</v>
      </c>
      <c r="S257" s="203">
        <f t="shared" si="295"/>
        <v>0.04</v>
      </c>
      <c r="T257" s="204">
        <f t="shared" ca="1" si="296"/>
        <v>53</v>
      </c>
      <c r="U257" s="205">
        <f t="shared" ca="1" si="297"/>
        <v>459170.11708832515</v>
      </c>
      <c r="V257" s="205">
        <f t="shared" ca="1" si="280"/>
        <v>-2387.0764773272981</v>
      </c>
      <c r="W257" s="205">
        <f t="shared" ca="1" si="281"/>
        <v>-1530.5670569610838</v>
      </c>
      <c r="X257" s="205">
        <f t="shared" ca="1" si="298"/>
        <v>-856.50942036621427</v>
      </c>
      <c r="Y257" s="205">
        <f t="shared" ca="1" si="299"/>
        <v>458313.60766795895</v>
      </c>
      <c r="Z257" s="199"/>
      <c r="AA257" s="200">
        <f t="shared" ca="1" si="287"/>
        <v>20</v>
      </c>
      <c r="AB257" s="509">
        <f t="shared" ca="1" si="282"/>
        <v>239</v>
      </c>
      <c r="AC257" s="200">
        <f t="shared" si="347"/>
        <v>20</v>
      </c>
      <c r="AD257" s="201">
        <f t="shared" si="344"/>
        <v>12</v>
      </c>
      <c r="AE257" s="202">
        <f t="shared" ca="1" si="313"/>
        <v>51683</v>
      </c>
      <c r="AF257" s="203">
        <f>IF(Dashboard!$R$24="Float",AF256+Dashboard!$R$24/12,AF256)</f>
        <v>0.06</v>
      </c>
      <c r="AG257" s="204">
        <f t="shared" si="300"/>
        <v>240</v>
      </c>
      <c r="AH257" s="205">
        <f t="shared" si="301"/>
        <v>0</v>
      </c>
      <c r="AI257" s="205">
        <f t="shared" si="284"/>
        <v>0</v>
      </c>
      <c r="AJ257" s="205">
        <f t="shared" si="285"/>
        <v>0</v>
      </c>
      <c r="AK257" s="205">
        <f t="shared" si="302"/>
        <v>0</v>
      </c>
      <c r="AL257" s="205">
        <f t="shared" si="303"/>
        <v>0</v>
      </c>
      <c r="AM257" s="199"/>
      <c r="AN257" s="200">
        <f t="shared" si="348"/>
        <v>21</v>
      </c>
      <c r="AO257" s="201">
        <f t="shared" si="345"/>
        <v>12</v>
      </c>
      <c r="AP257" s="202">
        <f t="shared" ca="1" si="315"/>
        <v>51683</v>
      </c>
      <c r="AQ257" s="203">
        <f>IF(Dashboard!$S$20="Float",AQ256+Dashboard!$T$20/12,AQ256)</f>
        <v>4.4999999999999998E-2</v>
      </c>
      <c r="AR257" s="204">
        <f t="shared" si="304"/>
        <v>240</v>
      </c>
      <c r="AS257" s="205">
        <f t="shared" si="305"/>
        <v>1759622.4645737647</v>
      </c>
      <c r="AT257" s="205">
        <f t="shared" si="288"/>
        <v>-18117.07145554385</v>
      </c>
      <c r="AU257" s="205">
        <f t="shared" si="289"/>
        <v>-6598.5842421516172</v>
      </c>
      <c r="AV257" s="205">
        <f t="shared" si="306"/>
        <v>-11518.487213392233</v>
      </c>
      <c r="AW257" s="205">
        <f t="shared" si="307"/>
        <v>1748103.9773603724</v>
      </c>
      <c r="AX257" s="199"/>
    </row>
    <row r="258" spans="1:50">
      <c r="A258" s="73"/>
      <c r="B258" s="571">
        <f>+C258</f>
        <v>21</v>
      </c>
      <c r="C258" s="16">
        <f t="shared" ref="C258" si="349">+C257+1</f>
        <v>21</v>
      </c>
      <c r="D258" s="17">
        <v>1</v>
      </c>
      <c r="E258" s="18">
        <f t="shared" ca="1" si="309"/>
        <v>51714</v>
      </c>
      <c r="F258" s="10">
        <f>IF(Dashboard!$Q$5="Float",F257+Dashboard!$R$5/12,F257)</f>
        <v>0.04</v>
      </c>
      <c r="G258" s="14">
        <f t="shared" si="290"/>
        <v>241</v>
      </c>
      <c r="H258" s="5">
        <f t="shared" si="291"/>
        <v>1768289.7079757936</v>
      </c>
      <c r="I258" s="5">
        <f t="shared" si="276"/>
        <v>-17903.073579954718</v>
      </c>
      <c r="J258" s="5">
        <f t="shared" si="277"/>
        <v>-5894.299026585978</v>
      </c>
      <c r="K258" s="5">
        <f t="shared" si="292"/>
        <v>-12008.774553368741</v>
      </c>
      <c r="L258" s="5">
        <f t="shared" si="293"/>
        <v>1756280.9334224248</v>
      </c>
      <c r="M258" s="199"/>
      <c r="N258" s="16">
        <f t="shared" ca="1" si="294"/>
        <v>8</v>
      </c>
      <c r="O258" s="508">
        <f t="shared" ca="1" si="278"/>
        <v>89</v>
      </c>
      <c r="P258" s="16">
        <f t="shared" ca="1" si="279"/>
        <v>8</v>
      </c>
      <c r="Q258" s="17">
        <v>1</v>
      </c>
      <c r="R258" s="18">
        <f t="shared" si="311"/>
        <v>47119</v>
      </c>
      <c r="S258" s="10">
        <f t="shared" si="295"/>
        <v>0.04</v>
      </c>
      <c r="T258" s="14">
        <f t="shared" ca="1" si="296"/>
        <v>54</v>
      </c>
      <c r="U258" s="5">
        <f t="shared" ca="1" si="297"/>
        <v>458313.60766795895</v>
      </c>
      <c r="V258" s="5">
        <f t="shared" ca="1" si="280"/>
        <v>-2387.0764773272986</v>
      </c>
      <c r="W258" s="5">
        <f t="shared" ca="1" si="281"/>
        <v>-1527.7120255598632</v>
      </c>
      <c r="X258" s="5">
        <f t="shared" ca="1" si="298"/>
        <v>-859.36445176743541</v>
      </c>
      <c r="Y258" s="5">
        <f t="shared" ca="1" si="299"/>
        <v>457454.24321619153</v>
      </c>
      <c r="Z258" s="199"/>
      <c r="AA258" s="16">
        <f t="shared" ca="1" si="287"/>
        <v>20</v>
      </c>
      <c r="AB258" s="508">
        <f t="shared" ca="1" si="282"/>
        <v>240</v>
      </c>
      <c r="AC258" s="16">
        <f t="shared" ref="AC258" si="350">+AC257+1</f>
        <v>21</v>
      </c>
      <c r="AD258" s="17">
        <v>1</v>
      </c>
      <c r="AE258" s="18">
        <f t="shared" ca="1" si="313"/>
        <v>51714</v>
      </c>
      <c r="AF258" s="10">
        <f>IF(Dashboard!$R$24="Float",AF257+Dashboard!$R$24/12,AF257)</f>
        <v>0.06</v>
      </c>
      <c r="AG258" s="14">
        <f t="shared" si="300"/>
        <v>241</v>
      </c>
      <c r="AH258" s="5">
        <f t="shared" si="301"/>
        <v>0</v>
      </c>
      <c r="AI258" s="5">
        <f t="shared" si="284"/>
        <v>0</v>
      </c>
      <c r="AJ258" s="5">
        <f t="shared" si="285"/>
        <v>0</v>
      </c>
      <c r="AK258" s="5">
        <f t="shared" si="302"/>
        <v>0</v>
      </c>
      <c r="AL258" s="5">
        <f t="shared" si="303"/>
        <v>0</v>
      </c>
      <c r="AM258" s="199"/>
      <c r="AN258" s="16">
        <f t="shared" ref="AN258" si="351">+AN257+1</f>
        <v>22</v>
      </c>
      <c r="AO258" s="17">
        <v>1</v>
      </c>
      <c r="AP258" s="18">
        <f t="shared" ca="1" si="315"/>
        <v>51714</v>
      </c>
      <c r="AQ258" s="10">
        <f>IF(Dashboard!$S$20="Float",AQ257+Dashboard!$T$20/12,AQ257)</f>
        <v>4.4999999999999998E-2</v>
      </c>
      <c r="AR258" s="14">
        <f t="shared" si="304"/>
        <v>241</v>
      </c>
      <c r="AS258" s="5">
        <f t="shared" si="305"/>
        <v>1748103.9773603724</v>
      </c>
      <c r="AT258" s="5">
        <f t="shared" si="288"/>
        <v>-18117.071455543846</v>
      </c>
      <c r="AU258" s="5">
        <f t="shared" si="289"/>
        <v>-6555.3899151013966</v>
      </c>
      <c r="AV258" s="5">
        <f t="shared" si="306"/>
        <v>-11561.681540442449</v>
      </c>
      <c r="AW258" s="5">
        <f t="shared" si="307"/>
        <v>1736542.29581993</v>
      </c>
      <c r="AX258" s="199"/>
    </row>
    <row r="259" spans="1:50">
      <c r="A259" s="73"/>
      <c r="B259" s="572"/>
      <c r="C259" s="16">
        <f>+C258</f>
        <v>21</v>
      </c>
      <c r="D259" s="17">
        <f>+D258+1</f>
        <v>2</v>
      </c>
      <c r="E259" s="18">
        <f t="shared" ca="1" si="309"/>
        <v>51745</v>
      </c>
      <c r="F259" s="10">
        <f>IF(Dashboard!$Q$5="Float",F258+Dashboard!$R$5/12,F258)</f>
        <v>0.04</v>
      </c>
      <c r="G259" s="14">
        <f t="shared" si="290"/>
        <v>242</v>
      </c>
      <c r="H259" s="5">
        <f t="shared" si="291"/>
        <v>1756280.9334224248</v>
      </c>
      <c r="I259" s="5">
        <f t="shared" si="276"/>
        <v>-17903.073579954718</v>
      </c>
      <c r="J259" s="5">
        <f t="shared" si="277"/>
        <v>-5854.2697780747503</v>
      </c>
      <c r="K259" s="5">
        <f t="shared" si="292"/>
        <v>-12048.803801879967</v>
      </c>
      <c r="L259" s="5">
        <f t="shared" si="293"/>
        <v>1744232.1296205448</v>
      </c>
      <c r="M259" s="199"/>
      <c r="N259" s="16">
        <f t="shared" ca="1" si="294"/>
        <v>8</v>
      </c>
      <c r="O259" s="508">
        <f t="shared" ca="1" si="278"/>
        <v>90</v>
      </c>
      <c r="P259" s="16">
        <f t="shared" ca="1" si="279"/>
        <v>8</v>
      </c>
      <c r="Q259" s="17">
        <f>+Q258+1</f>
        <v>2</v>
      </c>
      <c r="R259" s="18">
        <f t="shared" si="311"/>
        <v>47150</v>
      </c>
      <c r="S259" s="10">
        <f t="shared" si="295"/>
        <v>0.04</v>
      </c>
      <c r="T259" s="14">
        <f t="shared" ca="1" si="296"/>
        <v>55</v>
      </c>
      <c r="U259" s="5">
        <f t="shared" ca="1" si="297"/>
        <v>457454.24321619153</v>
      </c>
      <c r="V259" s="5">
        <f t="shared" ca="1" si="280"/>
        <v>-2387.0764773272986</v>
      </c>
      <c r="W259" s="5">
        <f t="shared" ca="1" si="281"/>
        <v>-1524.8474773873052</v>
      </c>
      <c r="X259" s="5">
        <f t="shared" ca="1" si="298"/>
        <v>-862.2289999399934</v>
      </c>
      <c r="Y259" s="5">
        <f t="shared" ca="1" si="299"/>
        <v>456592.01421625155</v>
      </c>
      <c r="Z259" s="199"/>
      <c r="AA259" s="16">
        <f t="shared" ca="1" si="287"/>
        <v>21</v>
      </c>
      <c r="AB259" s="508">
        <f t="shared" ca="1" si="282"/>
        <v>241</v>
      </c>
      <c r="AC259" s="16">
        <f>+AC258</f>
        <v>21</v>
      </c>
      <c r="AD259" s="17">
        <f>+AD258+1</f>
        <v>2</v>
      </c>
      <c r="AE259" s="18">
        <f t="shared" ca="1" si="313"/>
        <v>51745</v>
      </c>
      <c r="AF259" s="10">
        <f>IF(Dashboard!$R$24="Float",AF258+Dashboard!$R$24/12,AF258)</f>
        <v>0.06</v>
      </c>
      <c r="AG259" s="14">
        <f t="shared" si="300"/>
        <v>242</v>
      </c>
      <c r="AH259" s="5">
        <f t="shared" si="301"/>
        <v>0</v>
      </c>
      <c r="AI259" s="5">
        <f t="shared" si="284"/>
        <v>0</v>
      </c>
      <c r="AJ259" s="5">
        <f t="shared" si="285"/>
        <v>0</v>
      </c>
      <c r="AK259" s="5">
        <f t="shared" si="302"/>
        <v>0</v>
      </c>
      <c r="AL259" s="5">
        <f t="shared" si="303"/>
        <v>0</v>
      </c>
      <c r="AM259" s="199"/>
      <c r="AN259" s="16">
        <f>+AN258</f>
        <v>22</v>
      </c>
      <c r="AO259" s="17">
        <f>+AO258+1</f>
        <v>2</v>
      </c>
      <c r="AP259" s="18">
        <f t="shared" ca="1" si="315"/>
        <v>51745</v>
      </c>
      <c r="AQ259" s="10">
        <f>IF(Dashboard!$S$20="Float",AQ258+Dashboard!$T$20/12,AQ258)</f>
        <v>4.4999999999999998E-2</v>
      </c>
      <c r="AR259" s="14">
        <f t="shared" si="304"/>
        <v>242</v>
      </c>
      <c r="AS259" s="5">
        <f t="shared" si="305"/>
        <v>1736542.29581993</v>
      </c>
      <c r="AT259" s="5">
        <f t="shared" si="288"/>
        <v>-18117.07145554385</v>
      </c>
      <c r="AU259" s="5">
        <f t="shared" si="289"/>
        <v>-6512.0336093247379</v>
      </c>
      <c r="AV259" s="5">
        <f t="shared" si="306"/>
        <v>-11605.037846219111</v>
      </c>
      <c r="AW259" s="5">
        <f t="shared" si="307"/>
        <v>1724937.257973711</v>
      </c>
      <c r="AX259" s="199"/>
    </row>
    <row r="260" spans="1:50">
      <c r="A260" s="73"/>
      <c r="B260" s="572"/>
      <c r="C260" s="16">
        <f>+C259</f>
        <v>21</v>
      </c>
      <c r="D260" s="17">
        <f>+D259+1</f>
        <v>3</v>
      </c>
      <c r="E260" s="18">
        <f t="shared" ca="1" si="309"/>
        <v>51775</v>
      </c>
      <c r="F260" s="10">
        <f>IF(Dashboard!$Q$5="Float",F259+Dashboard!$R$5/12,F259)</f>
        <v>0.04</v>
      </c>
      <c r="G260" s="14">
        <f t="shared" si="290"/>
        <v>243</v>
      </c>
      <c r="H260" s="5">
        <f t="shared" si="291"/>
        <v>1744232.1296205448</v>
      </c>
      <c r="I260" s="5">
        <f t="shared" si="276"/>
        <v>-17903.073579954718</v>
      </c>
      <c r="J260" s="5">
        <f t="shared" si="277"/>
        <v>-5814.1070987351495</v>
      </c>
      <c r="K260" s="5">
        <f t="shared" si="292"/>
        <v>-12088.96648121957</v>
      </c>
      <c r="L260" s="5">
        <f t="shared" si="293"/>
        <v>1732143.1631393253</v>
      </c>
      <c r="M260" s="199"/>
      <c r="N260" s="16">
        <f t="shared" ca="1" si="294"/>
        <v>8</v>
      </c>
      <c r="O260" s="508">
        <f t="shared" ca="1" si="278"/>
        <v>91</v>
      </c>
      <c r="P260" s="16">
        <f t="shared" ca="1" si="279"/>
        <v>8</v>
      </c>
      <c r="Q260" s="17">
        <f>+Q259+1</f>
        <v>3</v>
      </c>
      <c r="R260" s="18">
        <f t="shared" si="311"/>
        <v>47178</v>
      </c>
      <c r="S260" s="10">
        <f t="shared" si="295"/>
        <v>0.04</v>
      </c>
      <c r="T260" s="14">
        <f t="shared" ca="1" si="296"/>
        <v>56</v>
      </c>
      <c r="U260" s="5">
        <f t="shared" ca="1" si="297"/>
        <v>456592.01421625155</v>
      </c>
      <c r="V260" s="5">
        <f t="shared" ca="1" si="280"/>
        <v>-2387.0764773272986</v>
      </c>
      <c r="W260" s="5">
        <f t="shared" ca="1" si="281"/>
        <v>-1521.9733807208386</v>
      </c>
      <c r="X260" s="5">
        <f t="shared" ca="1" si="298"/>
        <v>-865.10309660645999</v>
      </c>
      <c r="Y260" s="5">
        <f t="shared" ca="1" si="299"/>
        <v>455726.91111964511</v>
      </c>
      <c r="Z260" s="199"/>
      <c r="AA260" s="16">
        <f t="shared" ca="1" si="287"/>
        <v>21</v>
      </c>
      <c r="AB260" s="508">
        <f t="shared" ca="1" si="282"/>
        <v>242</v>
      </c>
      <c r="AC260" s="16">
        <f>+AC259</f>
        <v>21</v>
      </c>
      <c r="AD260" s="17">
        <f>+AD259+1</f>
        <v>3</v>
      </c>
      <c r="AE260" s="18">
        <f t="shared" ca="1" si="313"/>
        <v>51775</v>
      </c>
      <c r="AF260" s="10">
        <f>IF(Dashboard!$R$24="Float",AF259+Dashboard!$R$24/12,AF259)</f>
        <v>0.06</v>
      </c>
      <c r="AG260" s="14">
        <f t="shared" si="300"/>
        <v>243</v>
      </c>
      <c r="AH260" s="5">
        <f t="shared" si="301"/>
        <v>0</v>
      </c>
      <c r="AI260" s="5">
        <f t="shared" si="284"/>
        <v>0</v>
      </c>
      <c r="AJ260" s="5">
        <f t="shared" si="285"/>
        <v>0</v>
      </c>
      <c r="AK260" s="5">
        <f t="shared" si="302"/>
        <v>0</v>
      </c>
      <c r="AL260" s="5">
        <f t="shared" si="303"/>
        <v>0</v>
      </c>
      <c r="AM260" s="199"/>
      <c r="AN260" s="16">
        <f>+AN259</f>
        <v>22</v>
      </c>
      <c r="AO260" s="17">
        <f>+AO259+1</f>
        <v>3</v>
      </c>
      <c r="AP260" s="18">
        <f t="shared" ca="1" si="315"/>
        <v>51775</v>
      </c>
      <c r="AQ260" s="10">
        <f>IF(Dashboard!$S$20="Float",AQ259+Dashboard!$T$20/12,AQ259)</f>
        <v>4.4999999999999998E-2</v>
      </c>
      <c r="AR260" s="14">
        <f t="shared" si="304"/>
        <v>243</v>
      </c>
      <c r="AS260" s="5">
        <f t="shared" si="305"/>
        <v>1724937.257973711</v>
      </c>
      <c r="AT260" s="5">
        <f t="shared" si="288"/>
        <v>-18117.07145554385</v>
      </c>
      <c r="AU260" s="5">
        <f t="shared" si="289"/>
        <v>-6468.5147174014164</v>
      </c>
      <c r="AV260" s="5">
        <f t="shared" si="306"/>
        <v>-11648.556738142433</v>
      </c>
      <c r="AW260" s="5">
        <f t="shared" si="307"/>
        <v>1713288.7012355686</v>
      </c>
      <c r="AX260" s="199"/>
    </row>
    <row r="261" spans="1:50">
      <c r="A261" s="73"/>
      <c r="B261" s="572"/>
      <c r="C261" s="16">
        <f>+C260</f>
        <v>21</v>
      </c>
      <c r="D261" s="17">
        <f t="shared" ref="D261:D269" si="352">+D260+1</f>
        <v>4</v>
      </c>
      <c r="E261" s="18">
        <f t="shared" ca="1" si="309"/>
        <v>51806</v>
      </c>
      <c r="F261" s="10">
        <f>IF(Dashboard!$Q$5="Float",F260+Dashboard!$R$5/12,F260)</f>
        <v>0.04</v>
      </c>
      <c r="G261" s="14">
        <f t="shared" si="290"/>
        <v>244</v>
      </c>
      <c r="H261" s="5">
        <f t="shared" si="291"/>
        <v>1732143.1631393253</v>
      </c>
      <c r="I261" s="5">
        <f t="shared" si="276"/>
        <v>-17903.073579954718</v>
      </c>
      <c r="J261" s="5">
        <f t="shared" si="277"/>
        <v>-5773.8105437977511</v>
      </c>
      <c r="K261" s="5">
        <f t="shared" si="292"/>
        <v>-12129.263036156968</v>
      </c>
      <c r="L261" s="5">
        <f t="shared" si="293"/>
        <v>1720013.9001031683</v>
      </c>
      <c r="M261" s="199"/>
      <c r="N261" s="16">
        <f t="shared" ca="1" si="294"/>
        <v>8</v>
      </c>
      <c r="O261" s="508">
        <f t="shared" ca="1" si="278"/>
        <v>92</v>
      </c>
      <c r="P261" s="16">
        <f t="shared" ca="1" si="279"/>
        <v>8</v>
      </c>
      <c r="Q261" s="17">
        <f t="shared" ref="Q261:Q269" si="353">+Q260+1</f>
        <v>4</v>
      </c>
      <c r="R261" s="18">
        <f t="shared" si="311"/>
        <v>47209</v>
      </c>
      <c r="S261" s="10">
        <f t="shared" si="295"/>
        <v>0.04</v>
      </c>
      <c r="T261" s="14">
        <f t="shared" ca="1" si="296"/>
        <v>57</v>
      </c>
      <c r="U261" s="5">
        <f t="shared" ca="1" si="297"/>
        <v>455726.91111964511</v>
      </c>
      <c r="V261" s="5">
        <f t="shared" ca="1" si="280"/>
        <v>-2387.076477327299</v>
      </c>
      <c r="W261" s="5">
        <f t="shared" ca="1" si="281"/>
        <v>-1519.0897037321504</v>
      </c>
      <c r="X261" s="5">
        <f t="shared" ca="1" si="298"/>
        <v>-867.98677359514863</v>
      </c>
      <c r="Y261" s="5">
        <f t="shared" ca="1" si="299"/>
        <v>454858.92434604996</v>
      </c>
      <c r="Z261" s="199"/>
      <c r="AA261" s="16">
        <f t="shared" ca="1" si="287"/>
        <v>21</v>
      </c>
      <c r="AB261" s="508">
        <f t="shared" ca="1" si="282"/>
        <v>243</v>
      </c>
      <c r="AC261" s="16">
        <f>+AC260</f>
        <v>21</v>
      </c>
      <c r="AD261" s="17">
        <f t="shared" ref="AD261:AD269" si="354">+AD260+1</f>
        <v>4</v>
      </c>
      <c r="AE261" s="18">
        <f t="shared" ca="1" si="313"/>
        <v>51806</v>
      </c>
      <c r="AF261" s="10">
        <f>IF(Dashboard!$R$24="Float",AF260+Dashboard!$R$24/12,AF260)</f>
        <v>0.06</v>
      </c>
      <c r="AG261" s="14">
        <f t="shared" si="300"/>
        <v>244</v>
      </c>
      <c r="AH261" s="5">
        <f t="shared" si="301"/>
        <v>0</v>
      </c>
      <c r="AI261" s="5">
        <f t="shared" si="284"/>
        <v>0</v>
      </c>
      <c r="AJ261" s="5">
        <f t="shared" si="285"/>
        <v>0</v>
      </c>
      <c r="AK261" s="5">
        <f t="shared" si="302"/>
        <v>0</v>
      </c>
      <c r="AL261" s="5">
        <f t="shared" si="303"/>
        <v>0</v>
      </c>
      <c r="AM261" s="199"/>
      <c r="AN261" s="16">
        <f>+AN260</f>
        <v>22</v>
      </c>
      <c r="AO261" s="17">
        <f t="shared" ref="AO261:AO269" si="355">+AO260+1</f>
        <v>4</v>
      </c>
      <c r="AP261" s="18">
        <f t="shared" ca="1" si="315"/>
        <v>51806</v>
      </c>
      <c r="AQ261" s="10">
        <f>IF(Dashboard!$S$20="Float",AQ260+Dashboard!$T$20/12,AQ260)</f>
        <v>4.4999999999999998E-2</v>
      </c>
      <c r="AR261" s="14">
        <f t="shared" si="304"/>
        <v>244</v>
      </c>
      <c r="AS261" s="5">
        <f t="shared" si="305"/>
        <v>1713288.7012355686</v>
      </c>
      <c r="AT261" s="5">
        <f t="shared" si="288"/>
        <v>-18117.07145554385</v>
      </c>
      <c r="AU261" s="5">
        <f t="shared" si="289"/>
        <v>-6424.8326296333826</v>
      </c>
      <c r="AV261" s="5">
        <f t="shared" si="306"/>
        <v>-11692.238825910466</v>
      </c>
      <c r="AW261" s="5">
        <f t="shared" si="307"/>
        <v>1701596.4624096581</v>
      </c>
      <c r="AX261" s="199"/>
    </row>
    <row r="262" spans="1:50">
      <c r="A262" s="73"/>
      <c r="B262" s="572"/>
      <c r="C262" s="16">
        <f t="shared" ref="C262:C269" si="356">+C261</f>
        <v>21</v>
      </c>
      <c r="D262" s="17">
        <f t="shared" si="352"/>
        <v>5</v>
      </c>
      <c r="E262" s="18">
        <f t="shared" ca="1" si="309"/>
        <v>51836</v>
      </c>
      <c r="F262" s="10">
        <f>IF(Dashboard!$Q$5="Float",F261+Dashboard!$R$5/12,F261)</f>
        <v>0.04</v>
      </c>
      <c r="G262" s="14">
        <f t="shared" si="290"/>
        <v>245</v>
      </c>
      <c r="H262" s="5">
        <f t="shared" si="291"/>
        <v>1720013.9001031683</v>
      </c>
      <c r="I262" s="5">
        <f t="shared" si="276"/>
        <v>-17903.073579954718</v>
      </c>
      <c r="J262" s="5">
        <f t="shared" si="277"/>
        <v>-5733.3796670105612</v>
      </c>
      <c r="K262" s="5">
        <f t="shared" si="292"/>
        <v>-12169.693912944156</v>
      </c>
      <c r="L262" s="5">
        <f t="shared" si="293"/>
        <v>1707844.2061902243</v>
      </c>
      <c r="M262" s="199"/>
      <c r="N262" s="16">
        <f t="shared" ca="1" si="294"/>
        <v>8</v>
      </c>
      <c r="O262" s="508">
        <f t="shared" ca="1" si="278"/>
        <v>93</v>
      </c>
      <c r="P262" s="16">
        <f t="shared" ca="1" si="279"/>
        <v>8</v>
      </c>
      <c r="Q262" s="17">
        <f t="shared" si="353"/>
        <v>5</v>
      </c>
      <c r="R262" s="18">
        <f t="shared" si="311"/>
        <v>47239</v>
      </c>
      <c r="S262" s="10">
        <f t="shared" si="295"/>
        <v>0.04</v>
      </c>
      <c r="T262" s="14">
        <f t="shared" ca="1" si="296"/>
        <v>58</v>
      </c>
      <c r="U262" s="5">
        <f t="shared" ca="1" si="297"/>
        <v>454858.92434604996</v>
      </c>
      <c r="V262" s="5">
        <f t="shared" ca="1" si="280"/>
        <v>-2387.076477327299</v>
      </c>
      <c r="W262" s="5">
        <f t="shared" ca="1" si="281"/>
        <v>-1516.1964144868332</v>
      </c>
      <c r="X262" s="5">
        <f t="shared" ca="1" si="298"/>
        <v>-870.88006284046583</v>
      </c>
      <c r="Y262" s="5">
        <f t="shared" ca="1" si="299"/>
        <v>453988.04428320949</v>
      </c>
      <c r="Z262" s="199"/>
      <c r="AA262" s="16">
        <f t="shared" ca="1" si="287"/>
        <v>21</v>
      </c>
      <c r="AB262" s="508">
        <f t="shared" ca="1" si="282"/>
        <v>244</v>
      </c>
      <c r="AC262" s="16">
        <f t="shared" ref="AC262:AC269" si="357">+AC261</f>
        <v>21</v>
      </c>
      <c r="AD262" s="17">
        <f t="shared" si="354"/>
        <v>5</v>
      </c>
      <c r="AE262" s="18">
        <f t="shared" ca="1" si="313"/>
        <v>51836</v>
      </c>
      <c r="AF262" s="10">
        <f>IF(Dashboard!$R$24="Float",AF261+Dashboard!$R$24/12,AF261)</f>
        <v>0.06</v>
      </c>
      <c r="AG262" s="14">
        <f t="shared" si="300"/>
        <v>245</v>
      </c>
      <c r="AH262" s="5">
        <f t="shared" si="301"/>
        <v>0</v>
      </c>
      <c r="AI262" s="5">
        <f t="shared" si="284"/>
        <v>0</v>
      </c>
      <c r="AJ262" s="5">
        <f t="shared" si="285"/>
        <v>0</v>
      </c>
      <c r="AK262" s="5">
        <f t="shared" si="302"/>
        <v>0</v>
      </c>
      <c r="AL262" s="5">
        <f t="shared" si="303"/>
        <v>0</v>
      </c>
      <c r="AM262" s="199"/>
      <c r="AN262" s="16">
        <f t="shared" ref="AN262:AN269" si="358">+AN261</f>
        <v>22</v>
      </c>
      <c r="AO262" s="17">
        <f t="shared" si="355"/>
        <v>5</v>
      </c>
      <c r="AP262" s="18">
        <f t="shared" ca="1" si="315"/>
        <v>51836</v>
      </c>
      <c r="AQ262" s="10">
        <f>IF(Dashboard!$S$20="Float",AQ261+Dashboard!$T$20/12,AQ261)</f>
        <v>4.4999999999999998E-2</v>
      </c>
      <c r="AR262" s="14">
        <f t="shared" si="304"/>
        <v>245</v>
      </c>
      <c r="AS262" s="5">
        <f t="shared" si="305"/>
        <v>1701596.4624096581</v>
      </c>
      <c r="AT262" s="5">
        <f t="shared" si="288"/>
        <v>-18117.071455543854</v>
      </c>
      <c r="AU262" s="5">
        <f t="shared" si="289"/>
        <v>-6380.986734036218</v>
      </c>
      <c r="AV262" s="5">
        <f t="shared" si="306"/>
        <v>-11736.084721507636</v>
      </c>
      <c r="AW262" s="5">
        <f t="shared" si="307"/>
        <v>1689860.3776881504</v>
      </c>
      <c r="AX262" s="199"/>
    </row>
    <row r="263" spans="1:50">
      <c r="A263" s="73"/>
      <c r="B263" s="572"/>
      <c r="C263" s="16">
        <f t="shared" si="356"/>
        <v>21</v>
      </c>
      <c r="D263" s="17">
        <f t="shared" si="352"/>
        <v>6</v>
      </c>
      <c r="E263" s="18">
        <f t="shared" ca="1" si="309"/>
        <v>51867</v>
      </c>
      <c r="F263" s="10">
        <f>IF(Dashboard!$Q$5="Float",F262+Dashboard!$R$5/12,F262)</f>
        <v>0.04</v>
      </c>
      <c r="G263" s="14">
        <f t="shared" si="290"/>
        <v>246</v>
      </c>
      <c r="H263" s="5">
        <f t="shared" si="291"/>
        <v>1707844.2061902243</v>
      </c>
      <c r="I263" s="5">
        <f t="shared" si="276"/>
        <v>-17903.073579954718</v>
      </c>
      <c r="J263" s="5">
        <f t="shared" si="277"/>
        <v>-5692.8140206340804</v>
      </c>
      <c r="K263" s="5">
        <f t="shared" si="292"/>
        <v>-12210.259559320639</v>
      </c>
      <c r="L263" s="5">
        <f t="shared" si="293"/>
        <v>1695633.9466309035</v>
      </c>
      <c r="M263" s="199"/>
      <c r="N263" s="16">
        <f t="shared" ca="1" si="294"/>
        <v>8</v>
      </c>
      <c r="O263" s="508">
        <f t="shared" ca="1" si="278"/>
        <v>94</v>
      </c>
      <c r="P263" s="16">
        <f t="shared" ca="1" si="279"/>
        <v>8</v>
      </c>
      <c r="Q263" s="17">
        <f t="shared" si="353"/>
        <v>6</v>
      </c>
      <c r="R263" s="18">
        <f t="shared" si="311"/>
        <v>47270</v>
      </c>
      <c r="S263" s="10">
        <f t="shared" si="295"/>
        <v>0.04</v>
      </c>
      <c r="T263" s="14">
        <f t="shared" ca="1" si="296"/>
        <v>59</v>
      </c>
      <c r="U263" s="5">
        <f t="shared" ca="1" si="297"/>
        <v>453988.04428320949</v>
      </c>
      <c r="V263" s="5">
        <f t="shared" ca="1" si="280"/>
        <v>-2387.076477327299</v>
      </c>
      <c r="W263" s="5">
        <f t="shared" ca="1" si="281"/>
        <v>-1513.2934809440314</v>
      </c>
      <c r="X263" s="5">
        <f t="shared" ca="1" si="298"/>
        <v>-873.78299638326757</v>
      </c>
      <c r="Y263" s="5">
        <f t="shared" ca="1" si="299"/>
        <v>453114.26128682622</v>
      </c>
      <c r="Z263" s="199"/>
      <c r="AA263" s="16">
        <f t="shared" ca="1" si="287"/>
        <v>21</v>
      </c>
      <c r="AB263" s="508">
        <f t="shared" ca="1" si="282"/>
        <v>245</v>
      </c>
      <c r="AC263" s="16">
        <f t="shared" si="357"/>
        <v>21</v>
      </c>
      <c r="AD263" s="17">
        <f t="shared" si="354"/>
        <v>6</v>
      </c>
      <c r="AE263" s="18">
        <f t="shared" ca="1" si="313"/>
        <v>51867</v>
      </c>
      <c r="AF263" s="10">
        <f>IF(Dashboard!$R$24="Float",AF262+Dashboard!$R$24/12,AF262)</f>
        <v>0.06</v>
      </c>
      <c r="AG263" s="14">
        <f t="shared" si="300"/>
        <v>246</v>
      </c>
      <c r="AH263" s="5">
        <f t="shared" si="301"/>
        <v>0</v>
      </c>
      <c r="AI263" s="5">
        <f t="shared" si="284"/>
        <v>0</v>
      </c>
      <c r="AJ263" s="5">
        <f t="shared" si="285"/>
        <v>0</v>
      </c>
      <c r="AK263" s="5">
        <f t="shared" si="302"/>
        <v>0</v>
      </c>
      <c r="AL263" s="5">
        <f t="shared" si="303"/>
        <v>0</v>
      </c>
      <c r="AM263" s="199"/>
      <c r="AN263" s="16">
        <f t="shared" si="358"/>
        <v>22</v>
      </c>
      <c r="AO263" s="17">
        <f t="shared" si="355"/>
        <v>6</v>
      </c>
      <c r="AP263" s="18">
        <f t="shared" ca="1" si="315"/>
        <v>51867</v>
      </c>
      <c r="AQ263" s="10">
        <f>IF(Dashboard!$S$20="Float",AQ262+Dashboard!$T$20/12,AQ262)</f>
        <v>4.4999999999999998E-2</v>
      </c>
      <c r="AR263" s="14">
        <f t="shared" si="304"/>
        <v>246</v>
      </c>
      <c r="AS263" s="5">
        <f t="shared" si="305"/>
        <v>1689860.3776881504</v>
      </c>
      <c r="AT263" s="5">
        <f t="shared" si="288"/>
        <v>-18117.071455543846</v>
      </c>
      <c r="AU263" s="5">
        <f t="shared" si="289"/>
        <v>-6336.9764163305636</v>
      </c>
      <c r="AV263" s="5">
        <f t="shared" si="306"/>
        <v>-11780.095039213284</v>
      </c>
      <c r="AW263" s="5">
        <f t="shared" si="307"/>
        <v>1678080.2826489371</v>
      </c>
      <c r="AX263" s="199"/>
    </row>
    <row r="264" spans="1:50">
      <c r="A264" s="73"/>
      <c r="B264" s="572"/>
      <c r="C264" s="16">
        <f t="shared" si="356"/>
        <v>21</v>
      </c>
      <c r="D264" s="17">
        <f t="shared" si="352"/>
        <v>7</v>
      </c>
      <c r="E264" s="18">
        <f t="shared" ca="1" si="309"/>
        <v>51898</v>
      </c>
      <c r="F264" s="10">
        <f>IF(Dashboard!$Q$5="Float",F263+Dashboard!$R$5/12,F263)</f>
        <v>0.04</v>
      </c>
      <c r="G264" s="14">
        <f t="shared" si="290"/>
        <v>247</v>
      </c>
      <c r="H264" s="5">
        <f t="shared" si="291"/>
        <v>1695633.9466309035</v>
      </c>
      <c r="I264" s="5">
        <f t="shared" si="276"/>
        <v>-17903.073579954718</v>
      </c>
      <c r="J264" s="5">
        <f t="shared" si="277"/>
        <v>-5652.1131554363456</v>
      </c>
      <c r="K264" s="5">
        <f t="shared" si="292"/>
        <v>-12250.960424518373</v>
      </c>
      <c r="L264" s="5">
        <f t="shared" si="293"/>
        <v>1683382.9862063851</v>
      </c>
      <c r="M264" s="199"/>
      <c r="N264" s="16">
        <f t="shared" ca="1" si="294"/>
        <v>8</v>
      </c>
      <c r="O264" s="508">
        <f t="shared" ca="1" si="278"/>
        <v>95</v>
      </c>
      <c r="P264" s="16">
        <f t="shared" ca="1" si="279"/>
        <v>8</v>
      </c>
      <c r="Q264" s="17">
        <f t="shared" si="353"/>
        <v>7</v>
      </c>
      <c r="R264" s="18">
        <f t="shared" si="311"/>
        <v>47300</v>
      </c>
      <c r="S264" s="10">
        <f t="shared" si="295"/>
        <v>0.04</v>
      </c>
      <c r="T264" s="14">
        <f t="shared" ca="1" si="296"/>
        <v>60</v>
      </c>
      <c r="U264" s="5">
        <f t="shared" ca="1" si="297"/>
        <v>453114.26128682622</v>
      </c>
      <c r="V264" s="5">
        <f t="shared" ca="1" si="280"/>
        <v>-2387.0764773272986</v>
      </c>
      <c r="W264" s="5">
        <f t="shared" ca="1" si="281"/>
        <v>-1510.3808709560874</v>
      </c>
      <c r="X264" s="5">
        <f t="shared" ca="1" si="298"/>
        <v>-876.69560637121117</v>
      </c>
      <c r="Y264" s="5">
        <f t="shared" ca="1" si="299"/>
        <v>452237.56568045501</v>
      </c>
      <c r="Z264" s="199"/>
      <c r="AA264" s="16">
        <f t="shared" ca="1" si="287"/>
        <v>21</v>
      </c>
      <c r="AB264" s="508">
        <f t="shared" ca="1" si="282"/>
        <v>246</v>
      </c>
      <c r="AC264" s="16">
        <f t="shared" si="357"/>
        <v>21</v>
      </c>
      <c r="AD264" s="17">
        <f t="shared" si="354"/>
        <v>7</v>
      </c>
      <c r="AE264" s="18">
        <f t="shared" ca="1" si="313"/>
        <v>51898</v>
      </c>
      <c r="AF264" s="10">
        <f>IF(Dashboard!$R$24="Float",AF263+Dashboard!$R$24/12,AF263)</f>
        <v>0.06</v>
      </c>
      <c r="AG264" s="14">
        <f t="shared" si="300"/>
        <v>247</v>
      </c>
      <c r="AH264" s="5">
        <f t="shared" si="301"/>
        <v>0</v>
      </c>
      <c r="AI264" s="5">
        <f t="shared" si="284"/>
        <v>0</v>
      </c>
      <c r="AJ264" s="5">
        <f t="shared" si="285"/>
        <v>0</v>
      </c>
      <c r="AK264" s="5">
        <f t="shared" si="302"/>
        <v>0</v>
      </c>
      <c r="AL264" s="5">
        <f t="shared" si="303"/>
        <v>0</v>
      </c>
      <c r="AM264" s="199"/>
      <c r="AN264" s="16">
        <f t="shared" si="358"/>
        <v>22</v>
      </c>
      <c r="AO264" s="17">
        <f t="shared" si="355"/>
        <v>7</v>
      </c>
      <c r="AP264" s="18">
        <f t="shared" ca="1" si="315"/>
        <v>51898</v>
      </c>
      <c r="AQ264" s="10">
        <f>IF(Dashboard!$S$20="Float",AQ263+Dashboard!$T$20/12,AQ263)</f>
        <v>4.4999999999999998E-2</v>
      </c>
      <c r="AR264" s="14">
        <f t="shared" si="304"/>
        <v>247</v>
      </c>
      <c r="AS264" s="5">
        <f t="shared" si="305"/>
        <v>1678080.2826489371</v>
      </c>
      <c r="AT264" s="5">
        <f t="shared" si="288"/>
        <v>-18117.07145554385</v>
      </c>
      <c r="AU264" s="5">
        <f t="shared" si="289"/>
        <v>-6292.8010599335139</v>
      </c>
      <c r="AV264" s="5">
        <f t="shared" si="306"/>
        <v>-11824.270395610336</v>
      </c>
      <c r="AW264" s="5">
        <f t="shared" si="307"/>
        <v>1666256.0122533268</v>
      </c>
      <c r="AX264" s="199"/>
    </row>
    <row r="265" spans="1:50">
      <c r="A265" s="73"/>
      <c r="B265" s="572"/>
      <c r="C265" s="16">
        <f t="shared" si="356"/>
        <v>21</v>
      </c>
      <c r="D265" s="17">
        <f t="shared" si="352"/>
        <v>8</v>
      </c>
      <c r="E265" s="18">
        <f t="shared" ca="1" si="309"/>
        <v>51926</v>
      </c>
      <c r="F265" s="10">
        <f>IF(Dashboard!$Q$5="Float",F264+Dashboard!$R$5/12,F264)</f>
        <v>0.04</v>
      </c>
      <c r="G265" s="14">
        <f t="shared" si="290"/>
        <v>248</v>
      </c>
      <c r="H265" s="5">
        <f t="shared" si="291"/>
        <v>1683382.9862063851</v>
      </c>
      <c r="I265" s="5">
        <f t="shared" si="276"/>
        <v>-17903.073579954715</v>
      </c>
      <c r="J265" s="5">
        <f t="shared" si="277"/>
        <v>-5611.2766206879505</v>
      </c>
      <c r="K265" s="5">
        <f t="shared" si="292"/>
        <v>-12291.796959266765</v>
      </c>
      <c r="L265" s="5">
        <f t="shared" si="293"/>
        <v>1671091.1892471183</v>
      </c>
      <c r="M265" s="199"/>
      <c r="N265" s="16">
        <f t="shared" ca="1" si="294"/>
        <v>8</v>
      </c>
      <c r="O265" s="508">
        <f t="shared" ca="1" si="278"/>
        <v>96</v>
      </c>
      <c r="P265" s="16">
        <f t="shared" ca="1" si="279"/>
        <v>9</v>
      </c>
      <c r="Q265" s="17">
        <f t="shared" si="353"/>
        <v>8</v>
      </c>
      <c r="R265" s="18">
        <f t="shared" si="311"/>
        <v>47331</v>
      </c>
      <c r="S265" s="10">
        <f t="shared" si="295"/>
        <v>0.04</v>
      </c>
      <c r="T265" s="14">
        <f t="shared" ca="1" si="296"/>
        <v>61</v>
      </c>
      <c r="U265" s="5">
        <f t="shared" ca="1" si="297"/>
        <v>452237.56568045501</v>
      </c>
      <c r="V265" s="5">
        <f t="shared" ca="1" si="280"/>
        <v>-2387.076477327299</v>
      </c>
      <c r="W265" s="5">
        <f t="shared" ca="1" si="281"/>
        <v>-1507.4585522681834</v>
      </c>
      <c r="X265" s="5">
        <f t="shared" ca="1" si="298"/>
        <v>-879.61792505911558</v>
      </c>
      <c r="Y265" s="5">
        <f t="shared" ca="1" si="299"/>
        <v>451357.9477553959</v>
      </c>
      <c r="Z265" s="199"/>
      <c r="AA265" s="16">
        <f t="shared" ca="1" si="287"/>
        <v>21</v>
      </c>
      <c r="AB265" s="508">
        <f t="shared" ca="1" si="282"/>
        <v>247</v>
      </c>
      <c r="AC265" s="16">
        <f t="shared" si="357"/>
        <v>21</v>
      </c>
      <c r="AD265" s="17">
        <f t="shared" si="354"/>
        <v>8</v>
      </c>
      <c r="AE265" s="18">
        <f t="shared" ca="1" si="313"/>
        <v>51926</v>
      </c>
      <c r="AF265" s="10">
        <f>IF(Dashboard!$R$24="Float",AF264+Dashboard!$R$24/12,AF264)</f>
        <v>0.06</v>
      </c>
      <c r="AG265" s="14">
        <f t="shared" si="300"/>
        <v>248</v>
      </c>
      <c r="AH265" s="5">
        <f t="shared" si="301"/>
        <v>0</v>
      </c>
      <c r="AI265" s="5">
        <f t="shared" si="284"/>
        <v>0</v>
      </c>
      <c r="AJ265" s="5">
        <f t="shared" si="285"/>
        <v>0</v>
      </c>
      <c r="AK265" s="5">
        <f t="shared" si="302"/>
        <v>0</v>
      </c>
      <c r="AL265" s="5">
        <f t="shared" si="303"/>
        <v>0</v>
      </c>
      <c r="AM265" s="199"/>
      <c r="AN265" s="16">
        <f t="shared" si="358"/>
        <v>22</v>
      </c>
      <c r="AO265" s="17">
        <f t="shared" si="355"/>
        <v>8</v>
      </c>
      <c r="AP265" s="18">
        <f t="shared" ca="1" si="315"/>
        <v>51926</v>
      </c>
      <c r="AQ265" s="10">
        <f>IF(Dashboard!$S$20="Float",AQ264+Dashboard!$T$20/12,AQ264)</f>
        <v>4.4999999999999998E-2</v>
      </c>
      <c r="AR265" s="14">
        <f t="shared" si="304"/>
        <v>248</v>
      </c>
      <c r="AS265" s="5">
        <f t="shared" si="305"/>
        <v>1666256.0122533268</v>
      </c>
      <c r="AT265" s="5">
        <f t="shared" si="288"/>
        <v>-18117.07145554385</v>
      </c>
      <c r="AU265" s="5">
        <f t="shared" si="289"/>
        <v>-6248.4600459499752</v>
      </c>
      <c r="AV265" s="5">
        <f t="shared" si="306"/>
        <v>-11868.611409593876</v>
      </c>
      <c r="AW265" s="5">
        <f t="shared" si="307"/>
        <v>1654387.400843733</v>
      </c>
      <c r="AX265" s="199"/>
    </row>
    <row r="266" spans="1:50">
      <c r="A266" s="73"/>
      <c r="B266" s="572"/>
      <c r="C266" s="16">
        <f t="shared" si="356"/>
        <v>21</v>
      </c>
      <c r="D266" s="17">
        <f t="shared" si="352"/>
        <v>9</v>
      </c>
      <c r="E266" s="18">
        <f t="shared" ca="1" si="309"/>
        <v>51957</v>
      </c>
      <c r="F266" s="10">
        <f>IF(Dashboard!$Q$5="Float",F265+Dashboard!$R$5/12,F265)</f>
        <v>0.04</v>
      </c>
      <c r="G266" s="14">
        <f t="shared" si="290"/>
        <v>249</v>
      </c>
      <c r="H266" s="5">
        <f t="shared" si="291"/>
        <v>1671091.1892471183</v>
      </c>
      <c r="I266" s="5">
        <f t="shared" si="276"/>
        <v>-17903.073579954715</v>
      </c>
      <c r="J266" s="5">
        <f t="shared" si="277"/>
        <v>-5570.3039641570613</v>
      </c>
      <c r="K266" s="5">
        <f t="shared" si="292"/>
        <v>-12332.769615797653</v>
      </c>
      <c r="L266" s="5">
        <f t="shared" si="293"/>
        <v>1658758.4196313208</v>
      </c>
      <c r="M266" s="199"/>
      <c r="N266" s="16">
        <f t="shared" ca="1" si="294"/>
        <v>9</v>
      </c>
      <c r="O266" s="508">
        <f t="shared" ca="1" si="278"/>
        <v>97</v>
      </c>
      <c r="P266" s="16">
        <f t="shared" ca="1" si="279"/>
        <v>9</v>
      </c>
      <c r="Q266" s="17">
        <f t="shared" si="353"/>
        <v>9</v>
      </c>
      <c r="R266" s="18">
        <f t="shared" si="311"/>
        <v>47362</v>
      </c>
      <c r="S266" s="10">
        <f t="shared" si="295"/>
        <v>0.04</v>
      </c>
      <c r="T266" s="14">
        <f t="shared" ca="1" si="296"/>
        <v>62</v>
      </c>
      <c r="U266" s="5">
        <f t="shared" ca="1" si="297"/>
        <v>451357.9477553959</v>
      </c>
      <c r="V266" s="5">
        <f t="shared" ca="1" si="280"/>
        <v>-2387.0764773272986</v>
      </c>
      <c r="W266" s="5">
        <f t="shared" ca="1" si="281"/>
        <v>-1504.5264925179863</v>
      </c>
      <c r="X266" s="5">
        <f t="shared" ca="1" si="298"/>
        <v>-882.54998480931226</v>
      </c>
      <c r="Y266" s="5">
        <f t="shared" ca="1" si="299"/>
        <v>450475.3977705866</v>
      </c>
      <c r="Z266" s="199"/>
      <c r="AA266" s="16">
        <f t="shared" ca="1" si="287"/>
        <v>21</v>
      </c>
      <c r="AB266" s="508">
        <f t="shared" ca="1" si="282"/>
        <v>248</v>
      </c>
      <c r="AC266" s="16">
        <f t="shared" si="357"/>
        <v>21</v>
      </c>
      <c r="AD266" s="17">
        <f t="shared" si="354"/>
        <v>9</v>
      </c>
      <c r="AE266" s="18">
        <f t="shared" ca="1" si="313"/>
        <v>51957</v>
      </c>
      <c r="AF266" s="10">
        <f>IF(Dashboard!$R$24="Float",AF265+Dashboard!$R$24/12,AF265)</f>
        <v>0.06</v>
      </c>
      <c r="AG266" s="14">
        <f t="shared" si="300"/>
        <v>249</v>
      </c>
      <c r="AH266" s="5">
        <f t="shared" si="301"/>
        <v>0</v>
      </c>
      <c r="AI266" s="5">
        <f t="shared" si="284"/>
        <v>0</v>
      </c>
      <c r="AJ266" s="5">
        <f t="shared" si="285"/>
        <v>0</v>
      </c>
      <c r="AK266" s="5">
        <f t="shared" si="302"/>
        <v>0</v>
      </c>
      <c r="AL266" s="5">
        <f t="shared" si="303"/>
        <v>0</v>
      </c>
      <c r="AM266" s="199"/>
      <c r="AN266" s="16">
        <f t="shared" si="358"/>
        <v>22</v>
      </c>
      <c r="AO266" s="17">
        <f t="shared" si="355"/>
        <v>9</v>
      </c>
      <c r="AP266" s="18">
        <f t="shared" ca="1" si="315"/>
        <v>51957</v>
      </c>
      <c r="AQ266" s="10">
        <f>IF(Dashboard!$S$20="Float",AQ265+Dashboard!$T$20/12,AQ265)</f>
        <v>4.4999999999999998E-2</v>
      </c>
      <c r="AR266" s="14">
        <f t="shared" si="304"/>
        <v>249</v>
      </c>
      <c r="AS266" s="5">
        <f t="shared" si="305"/>
        <v>1654387.400843733</v>
      </c>
      <c r="AT266" s="5">
        <f t="shared" si="288"/>
        <v>-18117.071455543854</v>
      </c>
      <c r="AU266" s="5">
        <f t="shared" si="289"/>
        <v>-6203.9527531639988</v>
      </c>
      <c r="AV266" s="5">
        <f t="shared" si="306"/>
        <v>-11913.118702379856</v>
      </c>
      <c r="AW266" s="5">
        <f t="shared" si="307"/>
        <v>1642474.2821413532</v>
      </c>
      <c r="AX266" s="199"/>
    </row>
    <row r="267" spans="1:50">
      <c r="A267" s="73"/>
      <c r="B267" s="572"/>
      <c r="C267" s="16">
        <f t="shared" si="356"/>
        <v>21</v>
      </c>
      <c r="D267" s="17">
        <f t="shared" si="352"/>
        <v>10</v>
      </c>
      <c r="E267" s="18">
        <f t="shared" ca="1" si="309"/>
        <v>51987</v>
      </c>
      <c r="F267" s="10">
        <f>IF(Dashboard!$Q$5="Float",F266+Dashboard!$R$5/12,F266)</f>
        <v>0.04</v>
      </c>
      <c r="G267" s="14">
        <f t="shared" si="290"/>
        <v>250</v>
      </c>
      <c r="H267" s="5">
        <f t="shared" si="291"/>
        <v>1658758.4196313208</v>
      </c>
      <c r="I267" s="5">
        <f t="shared" si="276"/>
        <v>-17903.073579954718</v>
      </c>
      <c r="J267" s="5">
        <f t="shared" si="277"/>
        <v>-5529.1947321044026</v>
      </c>
      <c r="K267" s="5">
        <f t="shared" si="292"/>
        <v>-12373.878847850316</v>
      </c>
      <c r="L267" s="5">
        <f t="shared" si="293"/>
        <v>1646384.5407834705</v>
      </c>
      <c r="M267" s="199"/>
      <c r="N267" s="16">
        <f t="shared" ca="1" si="294"/>
        <v>9</v>
      </c>
      <c r="O267" s="508">
        <f t="shared" ca="1" si="278"/>
        <v>98</v>
      </c>
      <c r="P267" s="16">
        <f t="shared" ca="1" si="279"/>
        <v>9</v>
      </c>
      <c r="Q267" s="17">
        <f t="shared" si="353"/>
        <v>10</v>
      </c>
      <c r="R267" s="18">
        <f t="shared" si="311"/>
        <v>47392</v>
      </c>
      <c r="S267" s="10">
        <f t="shared" si="295"/>
        <v>0.04</v>
      </c>
      <c r="T267" s="14">
        <f t="shared" ca="1" si="296"/>
        <v>63</v>
      </c>
      <c r="U267" s="5">
        <f t="shared" ca="1" si="297"/>
        <v>450475.3977705866</v>
      </c>
      <c r="V267" s="5">
        <f t="shared" ca="1" si="280"/>
        <v>-2387.0764773272986</v>
      </c>
      <c r="W267" s="5">
        <f t="shared" ca="1" si="281"/>
        <v>-1501.5846592352889</v>
      </c>
      <c r="X267" s="5">
        <f t="shared" ca="1" si="298"/>
        <v>-885.49181809200968</v>
      </c>
      <c r="Y267" s="5">
        <f t="shared" ca="1" si="299"/>
        <v>449589.90595249459</v>
      </c>
      <c r="Z267" s="199"/>
      <c r="AA267" s="16">
        <f t="shared" ca="1" si="287"/>
        <v>21</v>
      </c>
      <c r="AB267" s="508">
        <f t="shared" ca="1" si="282"/>
        <v>249</v>
      </c>
      <c r="AC267" s="16">
        <f t="shared" si="357"/>
        <v>21</v>
      </c>
      <c r="AD267" s="17">
        <f t="shared" si="354"/>
        <v>10</v>
      </c>
      <c r="AE267" s="18">
        <f t="shared" ca="1" si="313"/>
        <v>51987</v>
      </c>
      <c r="AF267" s="10">
        <f>IF(Dashboard!$R$24="Float",AF266+Dashboard!$R$24/12,AF266)</f>
        <v>0.06</v>
      </c>
      <c r="AG267" s="14">
        <f t="shared" si="300"/>
        <v>250</v>
      </c>
      <c r="AH267" s="5">
        <f t="shared" si="301"/>
        <v>0</v>
      </c>
      <c r="AI267" s="5">
        <f t="shared" si="284"/>
        <v>0</v>
      </c>
      <c r="AJ267" s="5">
        <f t="shared" si="285"/>
        <v>0</v>
      </c>
      <c r="AK267" s="5">
        <f t="shared" si="302"/>
        <v>0</v>
      </c>
      <c r="AL267" s="5">
        <f t="shared" si="303"/>
        <v>0</v>
      </c>
      <c r="AM267" s="199"/>
      <c r="AN267" s="16">
        <f t="shared" si="358"/>
        <v>22</v>
      </c>
      <c r="AO267" s="17">
        <f t="shared" si="355"/>
        <v>10</v>
      </c>
      <c r="AP267" s="18">
        <f t="shared" ca="1" si="315"/>
        <v>51987</v>
      </c>
      <c r="AQ267" s="10">
        <f>IF(Dashboard!$S$20="Float",AQ266+Dashboard!$T$20/12,AQ266)</f>
        <v>4.4999999999999998E-2</v>
      </c>
      <c r="AR267" s="14">
        <f t="shared" si="304"/>
        <v>250</v>
      </c>
      <c r="AS267" s="5">
        <f t="shared" si="305"/>
        <v>1642474.2821413532</v>
      </c>
      <c r="AT267" s="5">
        <f t="shared" si="288"/>
        <v>-18117.071455543854</v>
      </c>
      <c r="AU267" s="5">
        <f t="shared" si="289"/>
        <v>-6159.2785580300742</v>
      </c>
      <c r="AV267" s="5">
        <f t="shared" si="306"/>
        <v>-11957.79289751378</v>
      </c>
      <c r="AW267" s="5">
        <f t="shared" si="307"/>
        <v>1630516.4892438394</v>
      </c>
      <c r="AX267" s="199"/>
    </row>
    <row r="268" spans="1:50">
      <c r="A268" s="73"/>
      <c r="B268" s="572"/>
      <c r="C268" s="16">
        <f t="shared" si="356"/>
        <v>21</v>
      </c>
      <c r="D268" s="17">
        <f t="shared" si="352"/>
        <v>11</v>
      </c>
      <c r="E268" s="18">
        <f t="shared" ca="1" si="309"/>
        <v>52018</v>
      </c>
      <c r="F268" s="10">
        <f>IF(Dashboard!$Q$5="Float",F267+Dashboard!$R$5/12,F267)</f>
        <v>0.04</v>
      </c>
      <c r="G268" s="14">
        <f t="shared" si="290"/>
        <v>251</v>
      </c>
      <c r="H268" s="5">
        <f t="shared" si="291"/>
        <v>1646384.5407834705</v>
      </c>
      <c r="I268" s="5">
        <f t="shared" si="276"/>
        <v>-17903.073579954715</v>
      </c>
      <c r="J268" s="5">
        <f t="shared" si="277"/>
        <v>-5487.9484692782353</v>
      </c>
      <c r="K268" s="5">
        <f t="shared" si="292"/>
        <v>-12415.125110676479</v>
      </c>
      <c r="L268" s="5">
        <f t="shared" si="293"/>
        <v>1633969.415672794</v>
      </c>
      <c r="M268" s="199"/>
      <c r="N268" s="16">
        <f t="shared" ca="1" si="294"/>
        <v>9</v>
      </c>
      <c r="O268" s="508">
        <f t="shared" ca="1" si="278"/>
        <v>99</v>
      </c>
      <c r="P268" s="16">
        <f t="shared" ca="1" si="279"/>
        <v>9</v>
      </c>
      <c r="Q268" s="17">
        <f t="shared" si="353"/>
        <v>11</v>
      </c>
      <c r="R268" s="18">
        <f t="shared" si="311"/>
        <v>47423</v>
      </c>
      <c r="S268" s="10">
        <f t="shared" si="295"/>
        <v>0.04</v>
      </c>
      <c r="T268" s="14">
        <f t="shared" ca="1" si="296"/>
        <v>64</v>
      </c>
      <c r="U268" s="5">
        <f t="shared" ca="1" si="297"/>
        <v>449589.90595249459</v>
      </c>
      <c r="V268" s="5">
        <f t="shared" ca="1" si="280"/>
        <v>-2387.076477327299</v>
      </c>
      <c r="W268" s="5">
        <f t="shared" ca="1" si="281"/>
        <v>-1498.6330198416488</v>
      </c>
      <c r="X268" s="5">
        <f t="shared" ca="1" si="298"/>
        <v>-888.44345748565024</v>
      </c>
      <c r="Y268" s="5">
        <f t="shared" ca="1" si="299"/>
        <v>448701.46249500895</v>
      </c>
      <c r="Z268" s="199"/>
      <c r="AA268" s="16">
        <f t="shared" ca="1" si="287"/>
        <v>21</v>
      </c>
      <c r="AB268" s="508">
        <f t="shared" ca="1" si="282"/>
        <v>250</v>
      </c>
      <c r="AC268" s="16">
        <f t="shared" si="357"/>
        <v>21</v>
      </c>
      <c r="AD268" s="17">
        <f t="shared" si="354"/>
        <v>11</v>
      </c>
      <c r="AE268" s="18">
        <f t="shared" ca="1" si="313"/>
        <v>52018</v>
      </c>
      <c r="AF268" s="10">
        <f>IF(Dashboard!$R$24="Float",AF267+Dashboard!$R$24/12,AF267)</f>
        <v>0.06</v>
      </c>
      <c r="AG268" s="14">
        <f t="shared" si="300"/>
        <v>251</v>
      </c>
      <c r="AH268" s="5">
        <f t="shared" si="301"/>
        <v>0</v>
      </c>
      <c r="AI268" s="5">
        <f t="shared" si="284"/>
        <v>0</v>
      </c>
      <c r="AJ268" s="5">
        <f t="shared" si="285"/>
        <v>0</v>
      </c>
      <c r="AK268" s="5">
        <f t="shared" si="302"/>
        <v>0</v>
      </c>
      <c r="AL268" s="5">
        <f t="shared" si="303"/>
        <v>0</v>
      </c>
      <c r="AM268" s="199"/>
      <c r="AN268" s="16">
        <f t="shared" si="358"/>
        <v>22</v>
      </c>
      <c r="AO268" s="17">
        <f t="shared" si="355"/>
        <v>11</v>
      </c>
      <c r="AP268" s="18">
        <f t="shared" ca="1" si="315"/>
        <v>52018</v>
      </c>
      <c r="AQ268" s="10">
        <f>IF(Dashboard!$S$20="Float",AQ267+Dashboard!$T$20/12,AQ267)</f>
        <v>4.4999999999999998E-2</v>
      </c>
      <c r="AR268" s="14">
        <f t="shared" si="304"/>
        <v>251</v>
      </c>
      <c r="AS268" s="5">
        <f t="shared" si="305"/>
        <v>1630516.4892438394</v>
      </c>
      <c r="AT268" s="5">
        <f t="shared" si="288"/>
        <v>-18117.071455543846</v>
      </c>
      <c r="AU268" s="5">
        <f t="shared" si="289"/>
        <v>-6114.4368346643978</v>
      </c>
      <c r="AV268" s="5">
        <f t="shared" si="306"/>
        <v>-12002.634620879449</v>
      </c>
      <c r="AW268" s="5">
        <f t="shared" si="307"/>
        <v>1618513.8546229599</v>
      </c>
      <c r="AX268" s="199"/>
    </row>
    <row r="269" spans="1:50">
      <c r="A269" s="73"/>
      <c r="B269" s="572"/>
      <c r="C269" s="16">
        <f t="shared" si="356"/>
        <v>21</v>
      </c>
      <c r="D269" s="17">
        <f t="shared" si="352"/>
        <v>12</v>
      </c>
      <c r="E269" s="18">
        <f t="shared" ca="1" si="309"/>
        <v>52048</v>
      </c>
      <c r="F269" s="10">
        <f>IF(Dashboard!$Q$5="Float",F268+Dashboard!$R$5/12,F268)</f>
        <v>0.04</v>
      </c>
      <c r="G269" s="14">
        <f t="shared" si="290"/>
        <v>252</v>
      </c>
      <c r="H269" s="5">
        <f t="shared" si="291"/>
        <v>1633969.415672794</v>
      </c>
      <c r="I269" s="5">
        <f t="shared" si="276"/>
        <v>-17903.073579954718</v>
      </c>
      <c r="J269" s="5">
        <f t="shared" si="277"/>
        <v>-5446.5647189093133</v>
      </c>
      <c r="K269" s="5">
        <f t="shared" si="292"/>
        <v>-12456.508861045404</v>
      </c>
      <c r="L269" s="5">
        <f t="shared" si="293"/>
        <v>1621512.9068117486</v>
      </c>
      <c r="M269" s="199"/>
      <c r="N269" s="16">
        <f t="shared" ca="1" si="294"/>
        <v>9</v>
      </c>
      <c r="O269" s="508">
        <f t="shared" ca="1" si="278"/>
        <v>100</v>
      </c>
      <c r="P269" s="16">
        <f t="shared" ca="1" si="279"/>
        <v>9</v>
      </c>
      <c r="Q269" s="17">
        <f t="shared" si="353"/>
        <v>12</v>
      </c>
      <c r="R269" s="18">
        <f t="shared" si="311"/>
        <v>47453</v>
      </c>
      <c r="S269" s="10">
        <f t="shared" si="295"/>
        <v>0.04</v>
      </c>
      <c r="T269" s="14">
        <f t="shared" ca="1" si="296"/>
        <v>65</v>
      </c>
      <c r="U269" s="5">
        <f t="shared" ca="1" si="297"/>
        <v>448701.46249500895</v>
      </c>
      <c r="V269" s="5">
        <f t="shared" ca="1" si="280"/>
        <v>-2387.0764773272986</v>
      </c>
      <c r="W269" s="5">
        <f t="shared" ca="1" si="281"/>
        <v>-1495.6715416500299</v>
      </c>
      <c r="X269" s="5">
        <f t="shared" ca="1" si="298"/>
        <v>-891.40493567726867</v>
      </c>
      <c r="Y269" s="5">
        <f t="shared" ca="1" si="299"/>
        <v>447810.0575593317</v>
      </c>
      <c r="Z269" s="199"/>
      <c r="AA269" s="16">
        <f t="shared" ca="1" si="287"/>
        <v>21</v>
      </c>
      <c r="AB269" s="508">
        <f t="shared" ca="1" si="282"/>
        <v>251</v>
      </c>
      <c r="AC269" s="16">
        <f t="shared" si="357"/>
        <v>21</v>
      </c>
      <c r="AD269" s="17">
        <f t="shared" si="354"/>
        <v>12</v>
      </c>
      <c r="AE269" s="18">
        <f t="shared" ca="1" si="313"/>
        <v>52048</v>
      </c>
      <c r="AF269" s="10">
        <f>IF(Dashboard!$R$24="Float",AF268+Dashboard!$R$24/12,AF268)</f>
        <v>0.06</v>
      </c>
      <c r="AG269" s="14">
        <f t="shared" si="300"/>
        <v>252</v>
      </c>
      <c r="AH269" s="5">
        <f t="shared" si="301"/>
        <v>0</v>
      </c>
      <c r="AI269" s="5">
        <f t="shared" si="284"/>
        <v>0</v>
      </c>
      <c r="AJ269" s="5">
        <f t="shared" si="285"/>
        <v>0</v>
      </c>
      <c r="AK269" s="5">
        <f t="shared" si="302"/>
        <v>0</v>
      </c>
      <c r="AL269" s="5">
        <f t="shared" si="303"/>
        <v>0</v>
      </c>
      <c r="AM269" s="199"/>
      <c r="AN269" s="16">
        <f t="shared" si="358"/>
        <v>22</v>
      </c>
      <c r="AO269" s="17">
        <f t="shared" si="355"/>
        <v>12</v>
      </c>
      <c r="AP269" s="18">
        <f t="shared" ca="1" si="315"/>
        <v>52048</v>
      </c>
      <c r="AQ269" s="10">
        <f>IF(Dashboard!$S$20="Float",AQ268+Dashboard!$T$20/12,AQ268)</f>
        <v>4.4999999999999998E-2</v>
      </c>
      <c r="AR269" s="14">
        <f t="shared" si="304"/>
        <v>252</v>
      </c>
      <c r="AS269" s="5">
        <f t="shared" si="305"/>
        <v>1618513.8546229599</v>
      </c>
      <c r="AT269" s="5">
        <f t="shared" si="288"/>
        <v>-18117.07145554385</v>
      </c>
      <c r="AU269" s="5">
        <f t="shared" si="289"/>
        <v>-6069.4269548360999</v>
      </c>
      <c r="AV269" s="5">
        <f t="shared" si="306"/>
        <v>-12047.644500707749</v>
      </c>
      <c r="AW269" s="5">
        <f t="shared" si="307"/>
        <v>1606466.2101222521</v>
      </c>
      <c r="AX269" s="199"/>
    </row>
    <row r="270" spans="1:50" ht="12.75" customHeight="1">
      <c r="A270" s="73"/>
      <c r="B270" s="570">
        <f>+C270</f>
        <v>22</v>
      </c>
      <c r="C270" s="200">
        <f t="shared" ref="C270" si="359">+C269+1</f>
        <v>22</v>
      </c>
      <c r="D270" s="201">
        <v>1</v>
      </c>
      <c r="E270" s="202">
        <f t="shared" ca="1" si="309"/>
        <v>52079</v>
      </c>
      <c r="F270" s="203">
        <f>IF(Dashboard!$Q$5="Float",F269+Dashboard!$R$5/12,F269)</f>
        <v>0.04</v>
      </c>
      <c r="G270" s="204">
        <f t="shared" si="290"/>
        <v>253</v>
      </c>
      <c r="H270" s="205">
        <f t="shared" si="291"/>
        <v>1621512.9068117486</v>
      </c>
      <c r="I270" s="205">
        <f t="shared" si="276"/>
        <v>-17903.073579954718</v>
      </c>
      <c r="J270" s="205">
        <f t="shared" si="277"/>
        <v>-5405.0430227058287</v>
      </c>
      <c r="K270" s="205">
        <f t="shared" si="292"/>
        <v>-12498.030557248891</v>
      </c>
      <c r="L270" s="205">
        <f t="shared" si="293"/>
        <v>1609014.8762544997</v>
      </c>
      <c r="M270" s="199"/>
      <c r="N270" s="200">
        <f t="shared" ca="1" si="294"/>
        <v>9</v>
      </c>
      <c r="O270" s="509">
        <f t="shared" ca="1" si="278"/>
        <v>101</v>
      </c>
      <c r="P270" s="200">
        <f t="shared" ca="1" si="279"/>
        <v>9</v>
      </c>
      <c r="Q270" s="201">
        <v>1</v>
      </c>
      <c r="R270" s="202">
        <f t="shared" si="311"/>
        <v>47484</v>
      </c>
      <c r="S270" s="203">
        <f t="shared" si="295"/>
        <v>0.04</v>
      </c>
      <c r="T270" s="204">
        <f t="shared" ca="1" si="296"/>
        <v>66</v>
      </c>
      <c r="U270" s="205">
        <f t="shared" ca="1" si="297"/>
        <v>447810.0575593317</v>
      </c>
      <c r="V270" s="205">
        <f t="shared" ca="1" si="280"/>
        <v>-2387.076477327299</v>
      </c>
      <c r="W270" s="205">
        <f t="shared" ca="1" si="281"/>
        <v>-1492.7001918644391</v>
      </c>
      <c r="X270" s="205">
        <f t="shared" ca="1" si="298"/>
        <v>-894.37628546285987</v>
      </c>
      <c r="Y270" s="205">
        <f t="shared" ca="1" si="299"/>
        <v>446915.68127386883</v>
      </c>
      <c r="Z270" s="199"/>
      <c r="AA270" s="200">
        <f t="shared" ca="1" si="287"/>
        <v>21</v>
      </c>
      <c r="AB270" s="509">
        <f t="shared" ca="1" si="282"/>
        <v>252</v>
      </c>
      <c r="AC270" s="200">
        <f t="shared" ref="AC270" si="360">+AC269+1</f>
        <v>22</v>
      </c>
      <c r="AD270" s="201">
        <v>1</v>
      </c>
      <c r="AE270" s="202">
        <f t="shared" ca="1" si="313"/>
        <v>52079</v>
      </c>
      <c r="AF270" s="203">
        <f>IF(Dashboard!$R$24="Float",AF269+Dashboard!$R$24/12,AF269)</f>
        <v>0.06</v>
      </c>
      <c r="AG270" s="204">
        <f t="shared" si="300"/>
        <v>253</v>
      </c>
      <c r="AH270" s="205">
        <f t="shared" si="301"/>
        <v>0</v>
      </c>
      <c r="AI270" s="205">
        <f t="shared" si="284"/>
        <v>0</v>
      </c>
      <c r="AJ270" s="205">
        <f t="shared" si="285"/>
        <v>0</v>
      </c>
      <c r="AK270" s="205">
        <f t="shared" si="302"/>
        <v>0</v>
      </c>
      <c r="AL270" s="205">
        <f t="shared" si="303"/>
        <v>0</v>
      </c>
      <c r="AM270" s="199"/>
      <c r="AN270" s="200">
        <f t="shared" ref="AN270" si="361">+AN269+1</f>
        <v>23</v>
      </c>
      <c r="AO270" s="201">
        <v>1</v>
      </c>
      <c r="AP270" s="202">
        <f t="shared" ca="1" si="315"/>
        <v>52079</v>
      </c>
      <c r="AQ270" s="203">
        <f>IF(Dashboard!$S$20="Float",AQ269+Dashboard!$T$20/12,AQ269)</f>
        <v>4.4999999999999998E-2</v>
      </c>
      <c r="AR270" s="204">
        <f t="shared" si="304"/>
        <v>253</v>
      </c>
      <c r="AS270" s="205">
        <f t="shared" si="305"/>
        <v>1606466.2101222521</v>
      </c>
      <c r="AT270" s="205">
        <f t="shared" si="288"/>
        <v>-18117.07145554385</v>
      </c>
      <c r="AU270" s="205">
        <f t="shared" si="289"/>
        <v>-6024.248287958445</v>
      </c>
      <c r="AV270" s="205">
        <f t="shared" si="306"/>
        <v>-12092.823167585404</v>
      </c>
      <c r="AW270" s="205">
        <f t="shared" si="307"/>
        <v>1594373.3869546668</v>
      </c>
      <c r="AX270" s="199"/>
    </row>
    <row r="271" spans="1:50">
      <c r="A271" s="73"/>
      <c r="B271" s="570"/>
      <c r="C271" s="200">
        <f>+C270</f>
        <v>22</v>
      </c>
      <c r="D271" s="201">
        <f>+D270+1</f>
        <v>2</v>
      </c>
      <c r="E271" s="202">
        <f t="shared" ca="1" si="309"/>
        <v>52110</v>
      </c>
      <c r="F271" s="203">
        <f>IF(Dashboard!$Q$5="Float",F270+Dashboard!$R$5/12,F270)</f>
        <v>0.04</v>
      </c>
      <c r="G271" s="204">
        <f t="shared" si="290"/>
        <v>254</v>
      </c>
      <c r="H271" s="205">
        <f t="shared" si="291"/>
        <v>1609014.8762544997</v>
      </c>
      <c r="I271" s="205">
        <f t="shared" si="276"/>
        <v>-17903.073579954718</v>
      </c>
      <c r="J271" s="205">
        <f t="shared" si="277"/>
        <v>-5363.3829208483321</v>
      </c>
      <c r="K271" s="205">
        <f t="shared" si="292"/>
        <v>-12539.690659106385</v>
      </c>
      <c r="L271" s="205">
        <f t="shared" si="293"/>
        <v>1596475.1855953932</v>
      </c>
      <c r="M271" s="199"/>
      <c r="N271" s="200">
        <f t="shared" ca="1" si="294"/>
        <v>9</v>
      </c>
      <c r="O271" s="509">
        <f t="shared" ca="1" si="278"/>
        <v>102</v>
      </c>
      <c r="P271" s="200">
        <f t="shared" ca="1" si="279"/>
        <v>9</v>
      </c>
      <c r="Q271" s="201">
        <f>+Q270+1</f>
        <v>2</v>
      </c>
      <c r="R271" s="202">
        <f t="shared" si="311"/>
        <v>47515</v>
      </c>
      <c r="S271" s="203">
        <f t="shared" si="295"/>
        <v>0.04</v>
      </c>
      <c r="T271" s="204">
        <f t="shared" ca="1" si="296"/>
        <v>67</v>
      </c>
      <c r="U271" s="205">
        <f t="shared" ca="1" si="297"/>
        <v>446915.68127386883</v>
      </c>
      <c r="V271" s="205">
        <f t="shared" ca="1" si="280"/>
        <v>-2387.076477327299</v>
      </c>
      <c r="W271" s="205">
        <f t="shared" ca="1" si="281"/>
        <v>-1489.7189375795626</v>
      </c>
      <c r="X271" s="205">
        <f t="shared" ca="1" si="298"/>
        <v>-897.35753974773638</v>
      </c>
      <c r="Y271" s="205">
        <f t="shared" ca="1" si="299"/>
        <v>446018.32373412111</v>
      </c>
      <c r="Z271" s="199"/>
      <c r="AA271" s="200">
        <f t="shared" ca="1" si="287"/>
        <v>22</v>
      </c>
      <c r="AB271" s="509">
        <f t="shared" ca="1" si="282"/>
        <v>253</v>
      </c>
      <c r="AC271" s="200">
        <f>+AC270</f>
        <v>22</v>
      </c>
      <c r="AD271" s="201">
        <f>+AD270+1</f>
        <v>2</v>
      </c>
      <c r="AE271" s="202">
        <f t="shared" ca="1" si="313"/>
        <v>52110</v>
      </c>
      <c r="AF271" s="203">
        <f>IF(Dashboard!$R$24="Float",AF270+Dashboard!$R$24/12,AF270)</f>
        <v>0.06</v>
      </c>
      <c r="AG271" s="204">
        <f t="shared" si="300"/>
        <v>254</v>
      </c>
      <c r="AH271" s="205">
        <f t="shared" si="301"/>
        <v>0</v>
      </c>
      <c r="AI271" s="205">
        <f t="shared" si="284"/>
        <v>0</v>
      </c>
      <c r="AJ271" s="205">
        <f t="shared" si="285"/>
        <v>0</v>
      </c>
      <c r="AK271" s="205">
        <f t="shared" si="302"/>
        <v>0</v>
      </c>
      <c r="AL271" s="205">
        <f t="shared" si="303"/>
        <v>0</v>
      </c>
      <c r="AM271" s="199"/>
      <c r="AN271" s="200">
        <f>+AN270</f>
        <v>23</v>
      </c>
      <c r="AO271" s="201">
        <f>+AO270+1</f>
        <v>2</v>
      </c>
      <c r="AP271" s="202">
        <f t="shared" ca="1" si="315"/>
        <v>52110</v>
      </c>
      <c r="AQ271" s="203">
        <f>IF(Dashboard!$S$20="Float",AQ270+Dashboard!$T$20/12,AQ270)</f>
        <v>4.4999999999999998E-2</v>
      </c>
      <c r="AR271" s="204">
        <f t="shared" si="304"/>
        <v>254</v>
      </c>
      <c r="AS271" s="205">
        <f t="shared" si="305"/>
        <v>1594373.3869546668</v>
      </c>
      <c r="AT271" s="205">
        <f t="shared" si="288"/>
        <v>-18117.071455543854</v>
      </c>
      <c r="AU271" s="205">
        <f t="shared" si="289"/>
        <v>-5978.9002010800004</v>
      </c>
      <c r="AV271" s="205">
        <f t="shared" si="306"/>
        <v>-12138.171254463854</v>
      </c>
      <c r="AW271" s="205">
        <f t="shared" si="307"/>
        <v>1582235.2157002029</v>
      </c>
      <c r="AX271" s="199"/>
    </row>
    <row r="272" spans="1:50">
      <c r="A272" s="73"/>
      <c r="B272" s="570"/>
      <c r="C272" s="200">
        <f>+C271</f>
        <v>22</v>
      </c>
      <c r="D272" s="201">
        <f>+D271+1</f>
        <v>3</v>
      </c>
      <c r="E272" s="202">
        <f t="shared" ca="1" si="309"/>
        <v>52140</v>
      </c>
      <c r="F272" s="203">
        <f>IF(Dashboard!$Q$5="Float",F271+Dashboard!$R$5/12,F271)</f>
        <v>0.04</v>
      </c>
      <c r="G272" s="204">
        <f t="shared" si="290"/>
        <v>255</v>
      </c>
      <c r="H272" s="205">
        <f t="shared" si="291"/>
        <v>1596475.1855953932</v>
      </c>
      <c r="I272" s="205">
        <f t="shared" si="276"/>
        <v>-17903.073579954715</v>
      </c>
      <c r="J272" s="205">
        <f t="shared" si="277"/>
        <v>-5321.583951984644</v>
      </c>
      <c r="K272" s="205">
        <f t="shared" si="292"/>
        <v>-12581.48962797007</v>
      </c>
      <c r="L272" s="205">
        <f t="shared" si="293"/>
        <v>1583893.695967423</v>
      </c>
      <c r="M272" s="199"/>
      <c r="N272" s="200">
        <f t="shared" ca="1" si="294"/>
        <v>9</v>
      </c>
      <c r="O272" s="509">
        <f t="shared" ca="1" si="278"/>
        <v>103</v>
      </c>
      <c r="P272" s="200">
        <f t="shared" ca="1" si="279"/>
        <v>9</v>
      </c>
      <c r="Q272" s="201">
        <f>+Q271+1</f>
        <v>3</v>
      </c>
      <c r="R272" s="202">
        <f t="shared" si="311"/>
        <v>47543</v>
      </c>
      <c r="S272" s="203">
        <f t="shared" si="295"/>
        <v>0.04</v>
      </c>
      <c r="T272" s="204">
        <f t="shared" ca="1" si="296"/>
        <v>68</v>
      </c>
      <c r="U272" s="205">
        <f t="shared" ca="1" si="297"/>
        <v>446018.32373412111</v>
      </c>
      <c r="V272" s="205">
        <f t="shared" ca="1" si="280"/>
        <v>-2387.076477327299</v>
      </c>
      <c r="W272" s="205">
        <f t="shared" ca="1" si="281"/>
        <v>-1486.7277457804037</v>
      </c>
      <c r="X272" s="205">
        <f t="shared" ca="1" si="298"/>
        <v>-900.34873154689535</v>
      </c>
      <c r="Y272" s="205">
        <f t="shared" ca="1" si="299"/>
        <v>445117.97500257421</v>
      </c>
      <c r="Z272" s="199"/>
      <c r="AA272" s="200">
        <f t="shared" ca="1" si="287"/>
        <v>22</v>
      </c>
      <c r="AB272" s="509">
        <f t="shared" ca="1" si="282"/>
        <v>254</v>
      </c>
      <c r="AC272" s="200">
        <f>+AC271</f>
        <v>22</v>
      </c>
      <c r="AD272" s="201">
        <f>+AD271+1</f>
        <v>3</v>
      </c>
      <c r="AE272" s="202">
        <f t="shared" ca="1" si="313"/>
        <v>52140</v>
      </c>
      <c r="AF272" s="203">
        <f>IF(Dashboard!$R$24="Float",AF271+Dashboard!$R$24/12,AF271)</f>
        <v>0.06</v>
      </c>
      <c r="AG272" s="204">
        <f t="shared" si="300"/>
        <v>255</v>
      </c>
      <c r="AH272" s="205">
        <f t="shared" si="301"/>
        <v>0</v>
      </c>
      <c r="AI272" s="205">
        <f t="shared" si="284"/>
        <v>0</v>
      </c>
      <c r="AJ272" s="205">
        <f t="shared" si="285"/>
        <v>0</v>
      </c>
      <c r="AK272" s="205">
        <f t="shared" si="302"/>
        <v>0</v>
      </c>
      <c r="AL272" s="205">
        <f t="shared" si="303"/>
        <v>0</v>
      </c>
      <c r="AM272" s="199"/>
      <c r="AN272" s="200">
        <f>+AN271</f>
        <v>23</v>
      </c>
      <c r="AO272" s="201">
        <f>+AO271+1</f>
        <v>3</v>
      </c>
      <c r="AP272" s="202">
        <f t="shared" ca="1" si="315"/>
        <v>52140</v>
      </c>
      <c r="AQ272" s="203">
        <f>IF(Dashboard!$S$20="Float",AQ271+Dashboard!$T$20/12,AQ271)</f>
        <v>4.4999999999999998E-2</v>
      </c>
      <c r="AR272" s="204">
        <f t="shared" si="304"/>
        <v>255</v>
      </c>
      <c r="AS272" s="205">
        <f t="shared" si="305"/>
        <v>1582235.2157002029</v>
      </c>
      <c r="AT272" s="205">
        <f t="shared" si="288"/>
        <v>-18117.07145554385</v>
      </c>
      <c r="AU272" s="205">
        <f t="shared" si="289"/>
        <v>-5933.3820588757599</v>
      </c>
      <c r="AV272" s="205">
        <f t="shared" si="306"/>
        <v>-12183.689396668091</v>
      </c>
      <c r="AW272" s="205">
        <f t="shared" si="307"/>
        <v>1570051.5263035349</v>
      </c>
      <c r="AX272" s="199"/>
    </row>
    <row r="273" spans="1:50">
      <c r="A273" s="73"/>
      <c r="B273" s="570"/>
      <c r="C273" s="200">
        <f>+C272</f>
        <v>22</v>
      </c>
      <c r="D273" s="201">
        <f t="shared" ref="D273:D281" si="362">+D272+1</f>
        <v>4</v>
      </c>
      <c r="E273" s="202">
        <f t="shared" ca="1" si="309"/>
        <v>52171</v>
      </c>
      <c r="F273" s="203">
        <f>IF(Dashboard!$Q$5="Float",F272+Dashboard!$R$5/12,F272)</f>
        <v>0.04</v>
      </c>
      <c r="G273" s="204">
        <f t="shared" si="290"/>
        <v>256</v>
      </c>
      <c r="H273" s="205">
        <f t="shared" si="291"/>
        <v>1583893.695967423</v>
      </c>
      <c r="I273" s="205">
        <f t="shared" si="276"/>
        <v>-17903.073579954711</v>
      </c>
      <c r="J273" s="205">
        <f t="shared" si="277"/>
        <v>-5279.6456532247439</v>
      </c>
      <c r="K273" s="205">
        <f t="shared" si="292"/>
        <v>-12623.427926729968</v>
      </c>
      <c r="L273" s="205">
        <f t="shared" si="293"/>
        <v>1571270.2680406931</v>
      </c>
      <c r="M273" s="199"/>
      <c r="N273" s="200">
        <f t="shared" ca="1" si="294"/>
        <v>9</v>
      </c>
      <c r="O273" s="509">
        <f t="shared" ca="1" si="278"/>
        <v>104</v>
      </c>
      <c r="P273" s="200">
        <f t="shared" ca="1" si="279"/>
        <v>9</v>
      </c>
      <c r="Q273" s="201">
        <f t="shared" ref="Q273:Q281" si="363">+Q272+1</f>
        <v>4</v>
      </c>
      <c r="R273" s="202">
        <f t="shared" si="311"/>
        <v>47574</v>
      </c>
      <c r="S273" s="203">
        <f t="shared" si="295"/>
        <v>0.04</v>
      </c>
      <c r="T273" s="204">
        <f t="shared" ca="1" si="296"/>
        <v>69</v>
      </c>
      <c r="U273" s="205">
        <f t="shared" ca="1" si="297"/>
        <v>445117.97500257421</v>
      </c>
      <c r="V273" s="205">
        <f t="shared" ca="1" si="280"/>
        <v>-2387.076477327299</v>
      </c>
      <c r="W273" s="205">
        <f t="shared" ca="1" si="281"/>
        <v>-1483.7265833419142</v>
      </c>
      <c r="X273" s="205">
        <f t="shared" ca="1" si="298"/>
        <v>-903.34989398538482</v>
      </c>
      <c r="Y273" s="205">
        <f t="shared" ca="1" si="299"/>
        <v>444214.62510858884</v>
      </c>
      <c r="Z273" s="199"/>
      <c r="AA273" s="200">
        <f t="shared" ca="1" si="287"/>
        <v>22</v>
      </c>
      <c r="AB273" s="509">
        <f t="shared" ca="1" si="282"/>
        <v>255</v>
      </c>
      <c r="AC273" s="200">
        <f>+AC272</f>
        <v>22</v>
      </c>
      <c r="AD273" s="201">
        <f t="shared" ref="AD273:AD281" si="364">+AD272+1</f>
        <v>4</v>
      </c>
      <c r="AE273" s="202">
        <f t="shared" ca="1" si="313"/>
        <v>52171</v>
      </c>
      <c r="AF273" s="203">
        <f>IF(Dashboard!$R$24="Float",AF272+Dashboard!$R$24/12,AF272)</f>
        <v>0.06</v>
      </c>
      <c r="AG273" s="204">
        <f t="shared" si="300"/>
        <v>256</v>
      </c>
      <c r="AH273" s="205">
        <f t="shared" si="301"/>
        <v>0</v>
      </c>
      <c r="AI273" s="205">
        <f t="shared" si="284"/>
        <v>0</v>
      </c>
      <c r="AJ273" s="205">
        <f t="shared" si="285"/>
        <v>0</v>
      </c>
      <c r="AK273" s="205">
        <f t="shared" si="302"/>
        <v>0</v>
      </c>
      <c r="AL273" s="205">
        <f t="shared" si="303"/>
        <v>0</v>
      </c>
      <c r="AM273" s="199"/>
      <c r="AN273" s="200">
        <f>+AN272</f>
        <v>23</v>
      </c>
      <c r="AO273" s="201">
        <f t="shared" ref="AO273:AO281" si="365">+AO272+1</f>
        <v>4</v>
      </c>
      <c r="AP273" s="202">
        <f t="shared" ca="1" si="315"/>
        <v>52171</v>
      </c>
      <c r="AQ273" s="203">
        <f>IF(Dashboard!$S$20="Float",AQ272+Dashboard!$T$20/12,AQ272)</f>
        <v>4.4999999999999998E-2</v>
      </c>
      <c r="AR273" s="204">
        <f t="shared" si="304"/>
        <v>256</v>
      </c>
      <c r="AS273" s="205">
        <f t="shared" si="305"/>
        <v>1570051.5263035349</v>
      </c>
      <c r="AT273" s="205">
        <f t="shared" si="288"/>
        <v>-18117.07145554385</v>
      </c>
      <c r="AU273" s="205">
        <f t="shared" si="289"/>
        <v>-5887.6932236382554</v>
      </c>
      <c r="AV273" s="205">
        <f t="shared" si="306"/>
        <v>-12229.378231905594</v>
      </c>
      <c r="AW273" s="205">
        <f t="shared" si="307"/>
        <v>1557822.1480716292</v>
      </c>
      <c r="AX273" s="199"/>
    </row>
    <row r="274" spans="1:50">
      <c r="A274" s="73"/>
      <c r="B274" s="570"/>
      <c r="C274" s="200">
        <f t="shared" ref="C274:C281" si="366">+C273</f>
        <v>22</v>
      </c>
      <c r="D274" s="201">
        <f t="shared" si="362"/>
        <v>5</v>
      </c>
      <c r="E274" s="202">
        <f t="shared" ca="1" si="309"/>
        <v>52201</v>
      </c>
      <c r="F274" s="203">
        <f>IF(Dashboard!$Q$5="Float",F273+Dashboard!$R$5/12,F273)</f>
        <v>0.04</v>
      </c>
      <c r="G274" s="204">
        <f t="shared" si="290"/>
        <v>257</v>
      </c>
      <c r="H274" s="205">
        <f t="shared" si="291"/>
        <v>1571270.2680406931</v>
      </c>
      <c r="I274" s="205">
        <f t="shared" ref="I274:I337" si="367">+IFERROR(IF(C274&gt;D$6,PMT(LOOKUP(C274,$C$18:$C$497,F$18:F$497)/12,D$5+1-G274,H274),-H274*LOOKUP(C274,C$18:C$497,F$18:F$497)/12),0)</f>
        <v>-17903.073579954715</v>
      </c>
      <c r="J274" s="205">
        <f t="shared" ref="J274:J337" si="368">-H274*LOOKUP(C274,C$18:C$497,F$18:F$497)/12</f>
        <v>-5237.5675601356443</v>
      </c>
      <c r="K274" s="205">
        <f t="shared" si="292"/>
        <v>-12665.506019819069</v>
      </c>
      <c r="L274" s="205">
        <f t="shared" si="293"/>
        <v>1558604.7620208741</v>
      </c>
      <c r="M274" s="199"/>
      <c r="N274" s="200">
        <f t="shared" ca="1" si="294"/>
        <v>9</v>
      </c>
      <c r="O274" s="509">
        <f t="shared" ref="O274:O337" ca="1" si="369">+IF(CDate&gt;=$R274,0,IF(O273&gt;0,O273+1,1))</f>
        <v>105</v>
      </c>
      <c r="P274" s="200">
        <f t="shared" ref="P274:P337" ca="1" si="370">+IFERROR(LOOKUP($R274,$E$18:$E$497,$C$18:$C$497),0)</f>
        <v>9</v>
      </c>
      <c r="Q274" s="201">
        <f t="shared" si="363"/>
        <v>5</v>
      </c>
      <c r="R274" s="202">
        <f t="shared" si="311"/>
        <v>47604</v>
      </c>
      <c r="S274" s="203">
        <f t="shared" si="295"/>
        <v>0.04</v>
      </c>
      <c r="T274" s="204">
        <f t="shared" ca="1" si="296"/>
        <v>70</v>
      </c>
      <c r="U274" s="205">
        <f t="shared" ca="1" si="297"/>
        <v>444214.62510858884</v>
      </c>
      <c r="V274" s="205">
        <f t="shared" ref="V274:V337" ca="1" si="371">+IFERROR(IF(P274&gt;Q$6,PMT(LOOKUP(P274,$C$18:$C$497,S$18:S$497)/12,Q$5+1-T274,U274),-U274*LOOKUP(P274,P$18:P$497,S$18:S$497)/12),0)</f>
        <v>-2387.076477327299</v>
      </c>
      <c r="W274" s="205">
        <f t="shared" ref="W274:W337" ca="1" si="372">-U274*LOOKUP(P274,P$18:P$497,S$18:S$497)/12</f>
        <v>-1480.7154170286294</v>
      </c>
      <c r="X274" s="205">
        <f t="shared" ca="1" si="298"/>
        <v>-906.3610602986696</v>
      </c>
      <c r="Y274" s="205">
        <f t="shared" ca="1" si="299"/>
        <v>443308.26404829015</v>
      </c>
      <c r="Z274" s="199"/>
      <c r="AA274" s="200">
        <f t="shared" ca="1" si="287"/>
        <v>22</v>
      </c>
      <c r="AB274" s="509">
        <f t="shared" ref="AB274:AB337" ca="1" si="373">+IF(CDate&gt;=$AE274,0,IF(AB273&gt;0,AB273+1,1))</f>
        <v>256</v>
      </c>
      <c r="AC274" s="200">
        <f t="shared" ref="AC274:AC281" si="374">+AC273</f>
        <v>22</v>
      </c>
      <c r="AD274" s="201">
        <f t="shared" si="364"/>
        <v>5</v>
      </c>
      <c r="AE274" s="202">
        <f t="shared" ca="1" si="313"/>
        <v>52201</v>
      </c>
      <c r="AF274" s="203">
        <f>IF(Dashboard!$R$24="Float",AF273+Dashboard!$R$24/12,AF273)</f>
        <v>0.06</v>
      </c>
      <c r="AG274" s="204">
        <f t="shared" si="300"/>
        <v>257</v>
      </c>
      <c r="AH274" s="205">
        <f t="shared" si="301"/>
        <v>0</v>
      </c>
      <c r="AI274" s="205">
        <f t="shared" ref="AI274:AI337" si="375">+IFERROR(IF(AC274&gt;AD$6,PMT(LOOKUP(AC274,$C$18:$C$497,AF$18:AF$497)/12,AD$5+1-AG274,AH274),-AH274*LOOKUP(AC274,AC$18:AC$497,AF$18:AF$497)/12),0)</f>
        <v>0</v>
      </c>
      <c r="AJ274" s="205">
        <f t="shared" ref="AJ274:AJ337" si="376">-AH274*LOOKUP(AC274,AC$18:AC$497,AF$18:AF$497)/12</f>
        <v>0</v>
      </c>
      <c r="AK274" s="205">
        <f t="shared" si="302"/>
        <v>0</v>
      </c>
      <c r="AL274" s="205">
        <f t="shared" si="303"/>
        <v>0</v>
      </c>
      <c r="AM274" s="199"/>
      <c r="AN274" s="200">
        <f t="shared" ref="AN274:AN281" si="377">+AN273</f>
        <v>23</v>
      </c>
      <c r="AO274" s="201">
        <f t="shared" si="365"/>
        <v>5</v>
      </c>
      <c r="AP274" s="202">
        <f t="shared" ca="1" si="315"/>
        <v>52201</v>
      </c>
      <c r="AQ274" s="203">
        <f>IF(Dashboard!$S$20="Float",AQ273+Dashboard!$T$20/12,AQ273)</f>
        <v>4.4999999999999998E-2</v>
      </c>
      <c r="AR274" s="204">
        <f t="shared" si="304"/>
        <v>257</v>
      </c>
      <c r="AS274" s="205">
        <f t="shared" si="305"/>
        <v>1557822.1480716292</v>
      </c>
      <c r="AT274" s="205">
        <f t="shared" si="288"/>
        <v>-18117.071455543846</v>
      </c>
      <c r="AU274" s="205">
        <f t="shared" si="289"/>
        <v>-5841.8330552686093</v>
      </c>
      <c r="AV274" s="205">
        <f t="shared" si="306"/>
        <v>-12275.238400275237</v>
      </c>
      <c r="AW274" s="205">
        <f t="shared" si="307"/>
        <v>1545546.9096713541</v>
      </c>
      <c r="AX274" s="199"/>
    </row>
    <row r="275" spans="1:50">
      <c r="A275" s="73"/>
      <c r="B275" s="570"/>
      <c r="C275" s="200">
        <f t="shared" si="366"/>
        <v>22</v>
      </c>
      <c r="D275" s="201">
        <f t="shared" si="362"/>
        <v>6</v>
      </c>
      <c r="E275" s="202">
        <f t="shared" ca="1" si="309"/>
        <v>52232</v>
      </c>
      <c r="F275" s="203">
        <f>IF(Dashboard!$Q$5="Float",F274+Dashboard!$R$5/12,F274)</f>
        <v>0.04</v>
      </c>
      <c r="G275" s="204">
        <f t="shared" si="290"/>
        <v>258</v>
      </c>
      <c r="H275" s="205">
        <f t="shared" si="291"/>
        <v>1558604.7620208741</v>
      </c>
      <c r="I275" s="205">
        <f t="shared" si="367"/>
        <v>-17903.073579954715</v>
      </c>
      <c r="J275" s="205">
        <f t="shared" si="368"/>
        <v>-5195.3492067362467</v>
      </c>
      <c r="K275" s="205">
        <f t="shared" si="292"/>
        <v>-12707.724373218469</v>
      </c>
      <c r="L275" s="205">
        <f t="shared" si="293"/>
        <v>1545897.0376476557</v>
      </c>
      <c r="M275" s="199"/>
      <c r="N275" s="200">
        <f t="shared" ca="1" si="294"/>
        <v>9</v>
      </c>
      <c r="O275" s="509">
        <f t="shared" ca="1" si="369"/>
        <v>106</v>
      </c>
      <c r="P275" s="200">
        <f t="shared" ca="1" si="370"/>
        <v>9</v>
      </c>
      <c r="Q275" s="201">
        <f t="shared" si="363"/>
        <v>6</v>
      </c>
      <c r="R275" s="202">
        <f t="shared" si="311"/>
        <v>47635</v>
      </c>
      <c r="S275" s="203">
        <f t="shared" si="295"/>
        <v>0.04</v>
      </c>
      <c r="T275" s="204">
        <f t="shared" ca="1" si="296"/>
        <v>71</v>
      </c>
      <c r="U275" s="205">
        <f t="shared" ca="1" si="297"/>
        <v>443308.26404829015</v>
      </c>
      <c r="V275" s="205">
        <f t="shared" ca="1" si="371"/>
        <v>-2387.076477327299</v>
      </c>
      <c r="W275" s="205">
        <f t="shared" ca="1" si="372"/>
        <v>-1477.6942134943004</v>
      </c>
      <c r="X275" s="205">
        <f t="shared" ca="1" si="298"/>
        <v>-909.38226383299866</v>
      </c>
      <c r="Y275" s="205">
        <f t="shared" ca="1" si="299"/>
        <v>442398.88178445713</v>
      </c>
      <c r="Z275" s="199"/>
      <c r="AA275" s="200">
        <f t="shared" ref="AA275:AA338" ca="1" si="378">+ROUNDUP(AB275/12,0)</f>
        <v>22</v>
      </c>
      <c r="AB275" s="509">
        <f t="shared" ca="1" si="373"/>
        <v>257</v>
      </c>
      <c r="AC275" s="200">
        <f t="shared" si="374"/>
        <v>22</v>
      </c>
      <c r="AD275" s="201">
        <f t="shared" si="364"/>
        <v>6</v>
      </c>
      <c r="AE275" s="202">
        <f t="shared" ca="1" si="313"/>
        <v>52232</v>
      </c>
      <c r="AF275" s="203">
        <f>IF(Dashboard!$R$24="Float",AF274+Dashboard!$R$24/12,AF274)</f>
        <v>0.06</v>
      </c>
      <c r="AG275" s="204">
        <f t="shared" si="300"/>
        <v>258</v>
      </c>
      <c r="AH275" s="205">
        <f t="shared" si="301"/>
        <v>0</v>
      </c>
      <c r="AI275" s="205">
        <f t="shared" si="375"/>
        <v>0</v>
      </c>
      <c r="AJ275" s="205">
        <f t="shared" si="376"/>
        <v>0</v>
      </c>
      <c r="AK275" s="205">
        <f t="shared" si="302"/>
        <v>0</v>
      </c>
      <c r="AL275" s="205">
        <f t="shared" si="303"/>
        <v>0</v>
      </c>
      <c r="AM275" s="199"/>
      <c r="AN275" s="200">
        <f t="shared" si="377"/>
        <v>23</v>
      </c>
      <c r="AO275" s="201">
        <f t="shared" si="365"/>
        <v>6</v>
      </c>
      <c r="AP275" s="202">
        <f t="shared" ca="1" si="315"/>
        <v>52232</v>
      </c>
      <c r="AQ275" s="203">
        <f>IF(Dashboard!$S$20="Float",AQ274+Dashboard!$T$20/12,AQ274)</f>
        <v>4.4999999999999998E-2</v>
      </c>
      <c r="AR275" s="204">
        <f t="shared" si="304"/>
        <v>258</v>
      </c>
      <c r="AS275" s="205">
        <f t="shared" si="305"/>
        <v>1545546.9096713541</v>
      </c>
      <c r="AT275" s="205">
        <f t="shared" ref="AT275:AT338" si="379">+IFERROR(IF(AN275&gt;AO$6+$AT$5-1,PMT(LOOKUP(AN275,$AT$5:$AT$15,$AU$5:$AU$15)/12,$AO$5+1-AR275,AS275),-AS275*LOOKUP(AN275,AN$18:AN$497,AQ$18:AQ$497)/12),0)</f>
        <v>-18117.071455543854</v>
      </c>
      <c r="AU275" s="205">
        <f t="shared" ref="AU275:AU338" si="380">-AS275*LOOKUP(AN275,$AT$5:$AT$15,$AU$5:$AU$15)/12</f>
        <v>-5795.8009112675782</v>
      </c>
      <c r="AV275" s="205">
        <f t="shared" si="306"/>
        <v>-12321.270544276274</v>
      </c>
      <c r="AW275" s="205">
        <f t="shared" si="307"/>
        <v>1533225.6391270778</v>
      </c>
      <c r="AX275" s="199"/>
    </row>
    <row r="276" spans="1:50">
      <c r="A276" s="73"/>
      <c r="B276" s="570"/>
      <c r="C276" s="200">
        <f t="shared" si="366"/>
        <v>22</v>
      </c>
      <c r="D276" s="201">
        <f t="shared" si="362"/>
        <v>7</v>
      </c>
      <c r="E276" s="202">
        <f t="shared" ca="1" si="309"/>
        <v>52263</v>
      </c>
      <c r="F276" s="203">
        <f>IF(Dashboard!$Q$5="Float",F275+Dashboard!$R$5/12,F275)</f>
        <v>0.04</v>
      </c>
      <c r="G276" s="204">
        <f t="shared" ref="G276:G339" si="381">+IF(G275="I/O",IF(C276&lt;=D$6,"I/O",1),G275+1)</f>
        <v>259</v>
      </c>
      <c r="H276" s="205">
        <f t="shared" ref="H276:H339" si="382">+L275</f>
        <v>1545897.0376476557</v>
      </c>
      <c r="I276" s="205">
        <f t="shared" si="367"/>
        <v>-17903.073579954715</v>
      </c>
      <c r="J276" s="205">
        <f t="shared" si="368"/>
        <v>-5152.9901254921861</v>
      </c>
      <c r="K276" s="205">
        <f t="shared" ref="K276:K339" si="383">+I276-J276</f>
        <v>-12750.083454462529</v>
      </c>
      <c r="L276" s="205">
        <f t="shared" ref="L276:L339" si="384">IFERROR(H276+K276,0)</f>
        <v>1533146.9541931932</v>
      </c>
      <c r="M276" s="199"/>
      <c r="N276" s="200">
        <f t="shared" ref="N276:N339" ca="1" si="385">+ROUNDUP(O276/12,0)</f>
        <v>9</v>
      </c>
      <c r="O276" s="509">
        <f t="shared" ca="1" si="369"/>
        <v>107</v>
      </c>
      <c r="P276" s="200">
        <f t="shared" ca="1" si="370"/>
        <v>9</v>
      </c>
      <c r="Q276" s="201">
        <f t="shared" si="363"/>
        <v>7</v>
      </c>
      <c r="R276" s="202">
        <f t="shared" si="311"/>
        <v>47665</v>
      </c>
      <c r="S276" s="203">
        <f t="shared" ref="S276:S339" si="386">+S275</f>
        <v>0.04</v>
      </c>
      <c r="T276" s="204">
        <f t="shared" ref="T276:T339" ca="1" si="387">+IF(T275="I/O",IF(P276&lt;=Q$6,"I/O",1),T275+1)</f>
        <v>72</v>
      </c>
      <c r="U276" s="205">
        <f t="shared" ref="U276:U339" ca="1" si="388">+Y275</f>
        <v>442398.88178445713</v>
      </c>
      <c r="V276" s="205">
        <f t="shared" ca="1" si="371"/>
        <v>-2387.0764773272986</v>
      </c>
      <c r="W276" s="205">
        <f t="shared" ca="1" si="372"/>
        <v>-1474.6629392815239</v>
      </c>
      <c r="X276" s="205">
        <f t="shared" ref="X276:X339" ca="1" si="389">+V276-W276</f>
        <v>-912.41353804577466</v>
      </c>
      <c r="Y276" s="205">
        <f t="shared" ref="Y276:Y339" ca="1" si="390">IFERROR(U276+X276,0)</f>
        <v>441486.46824641136</v>
      </c>
      <c r="Z276" s="199"/>
      <c r="AA276" s="200">
        <f t="shared" ca="1" si="378"/>
        <v>22</v>
      </c>
      <c r="AB276" s="509">
        <f t="shared" ca="1" si="373"/>
        <v>258</v>
      </c>
      <c r="AC276" s="200">
        <f t="shared" si="374"/>
        <v>22</v>
      </c>
      <c r="AD276" s="201">
        <f t="shared" si="364"/>
        <v>7</v>
      </c>
      <c r="AE276" s="202">
        <f t="shared" ca="1" si="313"/>
        <v>52263</v>
      </c>
      <c r="AF276" s="203">
        <f>IF(Dashboard!$R$24="Float",AF275+Dashboard!$R$24/12,AF275)</f>
        <v>0.06</v>
      </c>
      <c r="AG276" s="204">
        <f t="shared" ref="AG276:AG339" si="391">+IF(AG275="I/O",IF(AC276&lt;=AD$6,"I/O",1),AG275+1)</f>
        <v>259</v>
      </c>
      <c r="AH276" s="205">
        <f t="shared" ref="AH276:AH339" si="392">+AL275</f>
        <v>0</v>
      </c>
      <c r="AI276" s="205">
        <f t="shared" si="375"/>
        <v>0</v>
      </c>
      <c r="AJ276" s="205">
        <f t="shared" si="376"/>
        <v>0</v>
      </c>
      <c r="AK276" s="205">
        <f t="shared" ref="AK276:AK339" si="393">+AI276-AJ276</f>
        <v>0</v>
      </c>
      <c r="AL276" s="205">
        <f t="shared" ref="AL276:AL339" si="394">IFERROR(AH276+AK276,0)</f>
        <v>0</v>
      </c>
      <c r="AM276" s="199"/>
      <c r="AN276" s="200">
        <f t="shared" si="377"/>
        <v>23</v>
      </c>
      <c r="AO276" s="201">
        <f t="shared" si="365"/>
        <v>7</v>
      </c>
      <c r="AP276" s="202">
        <f t="shared" ca="1" si="315"/>
        <v>52263</v>
      </c>
      <c r="AQ276" s="203">
        <f>IF(Dashboard!$S$20="Float",AQ275+Dashboard!$T$20/12,AQ275)</f>
        <v>4.4999999999999998E-2</v>
      </c>
      <c r="AR276" s="204">
        <f t="shared" ref="AR276:AR339" si="395">+IF(AR275="I/O",IF(AN276&lt;=AO$6,"I/O",1),AR275+1)</f>
        <v>259</v>
      </c>
      <c r="AS276" s="205">
        <f t="shared" ref="AS276:AS339" si="396">+AW275</f>
        <v>1533225.6391270778</v>
      </c>
      <c r="AT276" s="205">
        <f t="shared" si="379"/>
        <v>-18117.071455543854</v>
      </c>
      <c r="AU276" s="205">
        <f t="shared" si="380"/>
        <v>-5749.5961467265415</v>
      </c>
      <c r="AV276" s="205">
        <f t="shared" ref="AV276:AV339" si="397">+AT276-AU276</f>
        <v>-12367.475308817313</v>
      </c>
      <c r="AW276" s="205">
        <f t="shared" ref="AW276:AW339" si="398">IFERROR(AS276+AV276,0)</f>
        <v>1520858.1638182604</v>
      </c>
      <c r="AX276" s="199"/>
    </row>
    <row r="277" spans="1:50">
      <c r="A277" s="73"/>
      <c r="B277" s="570"/>
      <c r="C277" s="200">
        <f t="shared" si="366"/>
        <v>22</v>
      </c>
      <c r="D277" s="201">
        <f t="shared" si="362"/>
        <v>8</v>
      </c>
      <c r="E277" s="202">
        <f t="shared" ref="E277:E340" ca="1" si="399">+EDATE(E276,1)</f>
        <v>52291</v>
      </c>
      <c r="F277" s="203">
        <f>IF(Dashboard!$Q$5="Float",F276+Dashboard!$R$5/12,F276)</f>
        <v>0.04</v>
      </c>
      <c r="G277" s="204">
        <f t="shared" si="381"/>
        <v>260</v>
      </c>
      <c r="H277" s="205">
        <f t="shared" si="382"/>
        <v>1533146.9541931932</v>
      </c>
      <c r="I277" s="205">
        <f t="shared" si="367"/>
        <v>-17903.073579954718</v>
      </c>
      <c r="J277" s="205">
        <f t="shared" si="368"/>
        <v>-5110.4898473106441</v>
      </c>
      <c r="K277" s="205">
        <f t="shared" si="383"/>
        <v>-12792.583732644074</v>
      </c>
      <c r="L277" s="205">
        <f t="shared" si="384"/>
        <v>1520354.3704605491</v>
      </c>
      <c r="M277" s="199"/>
      <c r="N277" s="200">
        <f t="shared" ca="1" si="385"/>
        <v>9</v>
      </c>
      <c r="O277" s="509">
        <f t="shared" ca="1" si="369"/>
        <v>108</v>
      </c>
      <c r="P277" s="200">
        <f t="shared" ca="1" si="370"/>
        <v>10</v>
      </c>
      <c r="Q277" s="201">
        <f t="shared" si="363"/>
        <v>8</v>
      </c>
      <c r="R277" s="202">
        <f t="shared" ref="R277:R340" si="400">+EDATE(R276,1)</f>
        <v>47696</v>
      </c>
      <c r="S277" s="203">
        <f t="shared" si="386"/>
        <v>0.04</v>
      </c>
      <c r="T277" s="204">
        <f t="shared" ca="1" si="387"/>
        <v>73</v>
      </c>
      <c r="U277" s="205">
        <f t="shared" ca="1" si="388"/>
        <v>441486.46824641136</v>
      </c>
      <c r="V277" s="205">
        <f t="shared" ca="1" si="371"/>
        <v>-2387.076477327299</v>
      </c>
      <c r="W277" s="205">
        <f t="shared" ca="1" si="372"/>
        <v>-1471.6215608213713</v>
      </c>
      <c r="X277" s="205">
        <f t="shared" ca="1" si="389"/>
        <v>-915.45491650592771</v>
      </c>
      <c r="Y277" s="205">
        <f t="shared" ca="1" si="390"/>
        <v>440571.01332990546</v>
      </c>
      <c r="Z277" s="199"/>
      <c r="AA277" s="200">
        <f t="shared" ca="1" si="378"/>
        <v>22</v>
      </c>
      <c r="AB277" s="509">
        <f t="shared" ca="1" si="373"/>
        <v>259</v>
      </c>
      <c r="AC277" s="200">
        <f t="shared" si="374"/>
        <v>22</v>
      </c>
      <c r="AD277" s="201">
        <f t="shared" si="364"/>
        <v>8</v>
      </c>
      <c r="AE277" s="202">
        <f t="shared" ref="AE277:AE340" ca="1" si="401">+EDATE(AE276,1)</f>
        <v>52291</v>
      </c>
      <c r="AF277" s="203">
        <f>IF(Dashboard!$R$24="Float",AF276+Dashboard!$R$24/12,AF276)</f>
        <v>0.06</v>
      </c>
      <c r="AG277" s="204">
        <f t="shared" si="391"/>
        <v>260</v>
      </c>
      <c r="AH277" s="205">
        <f t="shared" si="392"/>
        <v>0</v>
      </c>
      <c r="AI277" s="205">
        <f t="shared" si="375"/>
        <v>0</v>
      </c>
      <c r="AJ277" s="205">
        <f t="shared" si="376"/>
        <v>0</v>
      </c>
      <c r="AK277" s="205">
        <f t="shared" si="393"/>
        <v>0</v>
      </c>
      <c r="AL277" s="205">
        <f t="shared" si="394"/>
        <v>0</v>
      </c>
      <c r="AM277" s="199"/>
      <c r="AN277" s="200">
        <f t="shared" si="377"/>
        <v>23</v>
      </c>
      <c r="AO277" s="201">
        <f t="shared" si="365"/>
        <v>8</v>
      </c>
      <c r="AP277" s="202">
        <f t="shared" ref="AP277:AP340" ca="1" si="402">+EDATE(AP276,1)</f>
        <v>52291</v>
      </c>
      <c r="AQ277" s="203">
        <f>IF(Dashboard!$S$20="Float",AQ276+Dashboard!$T$20/12,AQ276)</f>
        <v>4.4999999999999998E-2</v>
      </c>
      <c r="AR277" s="204">
        <f t="shared" si="395"/>
        <v>260</v>
      </c>
      <c r="AS277" s="205">
        <f t="shared" si="396"/>
        <v>1520858.1638182604</v>
      </c>
      <c r="AT277" s="205">
        <f t="shared" si="379"/>
        <v>-18117.071455543854</v>
      </c>
      <c r="AU277" s="205">
        <f t="shared" si="380"/>
        <v>-5703.2181143184762</v>
      </c>
      <c r="AV277" s="205">
        <f t="shared" si="397"/>
        <v>-12413.853341225378</v>
      </c>
      <c r="AW277" s="205">
        <f t="shared" si="398"/>
        <v>1508444.3104770351</v>
      </c>
      <c r="AX277" s="199"/>
    </row>
    <row r="278" spans="1:50">
      <c r="A278" s="73"/>
      <c r="B278" s="570"/>
      <c r="C278" s="200">
        <f t="shared" si="366"/>
        <v>22</v>
      </c>
      <c r="D278" s="201">
        <f t="shared" si="362"/>
        <v>9</v>
      </c>
      <c r="E278" s="202">
        <f t="shared" ca="1" si="399"/>
        <v>52322</v>
      </c>
      <c r="F278" s="203">
        <f>IF(Dashboard!$Q$5="Float",F277+Dashboard!$R$5/12,F277)</f>
        <v>0.04</v>
      </c>
      <c r="G278" s="204">
        <f t="shared" si="381"/>
        <v>261</v>
      </c>
      <c r="H278" s="205">
        <f t="shared" si="382"/>
        <v>1520354.3704605491</v>
      </c>
      <c r="I278" s="205">
        <f t="shared" si="367"/>
        <v>-17903.073579954715</v>
      </c>
      <c r="J278" s="205">
        <f t="shared" si="368"/>
        <v>-5067.8479015351641</v>
      </c>
      <c r="K278" s="205">
        <f t="shared" si="383"/>
        <v>-12835.225678419551</v>
      </c>
      <c r="L278" s="205">
        <f t="shared" si="384"/>
        <v>1507519.1447821297</v>
      </c>
      <c r="M278" s="199"/>
      <c r="N278" s="200">
        <f t="shared" ca="1" si="385"/>
        <v>10</v>
      </c>
      <c r="O278" s="509">
        <f t="shared" ca="1" si="369"/>
        <v>109</v>
      </c>
      <c r="P278" s="200">
        <f t="shared" ca="1" si="370"/>
        <v>10</v>
      </c>
      <c r="Q278" s="201">
        <f t="shared" si="363"/>
        <v>9</v>
      </c>
      <c r="R278" s="202">
        <f t="shared" si="400"/>
        <v>47727</v>
      </c>
      <c r="S278" s="203">
        <f t="shared" si="386"/>
        <v>0.04</v>
      </c>
      <c r="T278" s="204">
        <f t="shared" ca="1" si="387"/>
        <v>74</v>
      </c>
      <c r="U278" s="205">
        <f t="shared" ca="1" si="388"/>
        <v>440571.01332990546</v>
      </c>
      <c r="V278" s="205">
        <f t="shared" ca="1" si="371"/>
        <v>-2387.076477327299</v>
      </c>
      <c r="W278" s="205">
        <f t="shared" ca="1" si="372"/>
        <v>-1468.5700444330184</v>
      </c>
      <c r="X278" s="205">
        <f t="shared" ca="1" si="389"/>
        <v>-918.50643289428058</v>
      </c>
      <c r="Y278" s="205">
        <f t="shared" ca="1" si="390"/>
        <v>439652.50689701119</v>
      </c>
      <c r="Z278" s="199"/>
      <c r="AA278" s="200">
        <f t="shared" ca="1" si="378"/>
        <v>22</v>
      </c>
      <c r="AB278" s="509">
        <f t="shared" ca="1" si="373"/>
        <v>260</v>
      </c>
      <c r="AC278" s="200">
        <f t="shared" si="374"/>
        <v>22</v>
      </c>
      <c r="AD278" s="201">
        <f t="shared" si="364"/>
        <v>9</v>
      </c>
      <c r="AE278" s="202">
        <f t="shared" ca="1" si="401"/>
        <v>52322</v>
      </c>
      <c r="AF278" s="203">
        <f>IF(Dashboard!$R$24="Float",AF277+Dashboard!$R$24/12,AF277)</f>
        <v>0.06</v>
      </c>
      <c r="AG278" s="204">
        <f t="shared" si="391"/>
        <v>261</v>
      </c>
      <c r="AH278" s="205">
        <f t="shared" si="392"/>
        <v>0</v>
      </c>
      <c r="AI278" s="205">
        <f t="shared" si="375"/>
        <v>0</v>
      </c>
      <c r="AJ278" s="205">
        <f t="shared" si="376"/>
        <v>0</v>
      </c>
      <c r="AK278" s="205">
        <f t="shared" si="393"/>
        <v>0</v>
      </c>
      <c r="AL278" s="205">
        <f t="shared" si="394"/>
        <v>0</v>
      </c>
      <c r="AM278" s="199"/>
      <c r="AN278" s="200">
        <f t="shared" si="377"/>
        <v>23</v>
      </c>
      <c r="AO278" s="201">
        <f t="shared" si="365"/>
        <v>9</v>
      </c>
      <c r="AP278" s="202">
        <f t="shared" ca="1" si="402"/>
        <v>52322</v>
      </c>
      <c r="AQ278" s="203">
        <f>IF(Dashboard!$S$20="Float",AQ277+Dashboard!$T$20/12,AQ277)</f>
        <v>4.4999999999999998E-2</v>
      </c>
      <c r="AR278" s="204">
        <f t="shared" si="395"/>
        <v>261</v>
      </c>
      <c r="AS278" s="205">
        <f t="shared" si="396"/>
        <v>1508444.3104770351</v>
      </c>
      <c r="AT278" s="205">
        <f t="shared" si="379"/>
        <v>-18117.071455543854</v>
      </c>
      <c r="AU278" s="205">
        <f t="shared" si="380"/>
        <v>-5656.6661642888821</v>
      </c>
      <c r="AV278" s="205">
        <f t="shared" si="397"/>
        <v>-12460.405291254971</v>
      </c>
      <c r="AW278" s="205">
        <f t="shared" si="398"/>
        <v>1495983.9051857803</v>
      </c>
      <c r="AX278" s="199"/>
    </row>
    <row r="279" spans="1:50">
      <c r="A279" s="73"/>
      <c r="B279" s="570"/>
      <c r="C279" s="200">
        <f t="shared" si="366"/>
        <v>22</v>
      </c>
      <c r="D279" s="201">
        <f t="shared" si="362"/>
        <v>10</v>
      </c>
      <c r="E279" s="202">
        <f t="shared" ca="1" si="399"/>
        <v>52352</v>
      </c>
      <c r="F279" s="203">
        <f>IF(Dashboard!$Q$5="Float",F278+Dashboard!$R$5/12,F278)</f>
        <v>0.04</v>
      </c>
      <c r="G279" s="204">
        <f t="shared" si="381"/>
        <v>262</v>
      </c>
      <c r="H279" s="205">
        <f t="shared" si="382"/>
        <v>1507519.1447821297</v>
      </c>
      <c r="I279" s="205">
        <f t="shared" si="367"/>
        <v>-17903.073579954718</v>
      </c>
      <c r="J279" s="205">
        <f t="shared" si="368"/>
        <v>-5025.0638159404325</v>
      </c>
      <c r="K279" s="205">
        <f t="shared" si="383"/>
        <v>-12878.009764014285</v>
      </c>
      <c r="L279" s="205">
        <f t="shared" si="384"/>
        <v>1494641.1350181154</v>
      </c>
      <c r="M279" s="199"/>
      <c r="N279" s="200">
        <f t="shared" ca="1" si="385"/>
        <v>10</v>
      </c>
      <c r="O279" s="509">
        <f t="shared" ca="1" si="369"/>
        <v>110</v>
      </c>
      <c r="P279" s="200">
        <f t="shared" ca="1" si="370"/>
        <v>10</v>
      </c>
      <c r="Q279" s="201">
        <f t="shared" si="363"/>
        <v>10</v>
      </c>
      <c r="R279" s="202">
        <f t="shared" si="400"/>
        <v>47757</v>
      </c>
      <c r="S279" s="203">
        <f t="shared" si="386"/>
        <v>0.04</v>
      </c>
      <c r="T279" s="204">
        <f t="shared" ca="1" si="387"/>
        <v>75</v>
      </c>
      <c r="U279" s="205">
        <f t="shared" ca="1" si="388"/>
        <v>439652.50689701119</v>
      </c>
      <c r="V279" s="205">
        <f t="shared" ca="1" si="371"/>
        <v>-2387.076477327299</v>
      </c>
      <c r="W279" s="205">
        <f t="shared" ca="1" si="372"/>
        <v>-1465.5083563233709</v>
      </c>
      <c r="X279" s="205">
        <f t="shared" ca="1" si="389"/>
        <v>-921.56812100392813</v>
      </c>
      <c r="Y279" s="205">
        <f t="shared" ca="1" si="390"/>
        <v>438730.93877600727</v>
      </c>
      <c r="Z279" s="199"/>
      <c r="AA279" s="200">
        <f t="shared" ca="1" si="378"/>
        <v>22</v>
      </c>
      <c r="AB279" s="509">
        <f t="shared" ca="1" si="373"/>
        <v>261</v>
      </c>
      <c r="AC279" s="200">
        <f t="shared" si="374"/>
        <v>22</v>
      </c>
      <c r="AD279" s="201">
        <f t="shared" si="364"/>
        <v>10</v>
      </c>
      <c r="AE279" s="202">
        <f t="shared" ca="1" si="401"/>
        <v>52352</v>
      </c>
      <c r="AF279" s="203">
        <f>IF(Dashboard!$R$24="Float",AF278+Dashboard!$R$24/12,AF278)</f>
        <v>0.06</v>
      </c>
      <c r="AG279" s="204">
        <f t="shared" si="391"/>
        <v>262</v>
      </c>
      <c r="AH279" s="205">
        <f t="shared" si="392"/>
        <v>0</v>
      </c>
      <c r="AI279" s="205">
        <f t="shared" si="375"/>
        <v>0</v>
      </c>
      <c r="AJ279" s="205">
        <f t="shared" si="376"/>
        <v>0</v>
      </c>
      <c r="AK279" s="205">
        <f t="shared" si="393"/>
        <v>0</v>
      </c>
      <c r="AL279" s="205">
        <f t="shared" si="394"/>
        <v>0</v>
      </c>
      <c r="AM279" s="199"/>
      <c r="AN279" s="200">
        <f t="shared" si="377"/>
        <v>23</v>
      </c>
      <c r="AO279" s="201">
        <f t="shared" si="365"/>
        <v>10</v>
      </c>
      <c r="AP279" s="202">
        <f t="shared" ca="1" si="402"/>
        <v>52352</v>
      </c>
      <c r="AQ279" s="203">
        <f>IF(Dashboard!$S$20="Float",AQ278+Dashboard!$T$20/12,AQ278)</f>
        <v>4.4999999999999998E-2</v>
      </c>
      <c r="AR279" s="204">
        <f t="shared" si="395"/>
        <v>262</v>
      </c>
      <c r="AS279" s="205">
        <f t="shared" si="396"/>
        <v>1495983.9051857803</v>
      </c>
      <c r="AT279" s="205">
        <f t="shared" si="379"/>
        <v>-18117.071455543854</v>
      </c>
      <c r="AU279" s="205">
        <f t="shared" si="380"/>
        <v>-5609.9396444466756</v>
      </c>
      <c r="AV279" s="205">
        <f t="shared" si="397"/>
        <v>-12507.131811097177</v>
      </c>
      <c r="AW279" s="205">
        <f t="shared" si="398"/>
        <v>1483476.773374683</v>
      </c>
      <c r="AX279" s="199"/>
    </row>
    <row r="280" spans="1:50">
      <c r="A280" s="73"/>
      <c r="B280" s="570"/>
      <c r="C280" s="200">
        <f t="shared" si="366"/>
        <v>22</v>
      </c>
      <c r="D280" s="201">
        <f t="shared" si="362"/>
        <v>11</v>
      </c>
      <c r="E280" s="202">
        <f t="shared" ca="1" si="399"/>
        <v>52383</v>
      </c>
      <c r="F280" s="203">
        <f>IF(Dashboard!$Q$5="Float",F279+Dashboard!$R$5/12,F279)</f>
        <v>0.04</v>
      </c>
      <c r="G280" s="204">
        <f t="shared" si="381"/>
        <v>263</v>
      </c>
      <c r="H280" s="205">
        <f t="shared" si="382"/>
        <v>1494641.1350181154</v>
      </c>
      <c r="I280" s="205">
        <f t="shared" si="367"/>
        <v>-17903.073579954715</v>
      </c>
      <c r="J280" s="205">
        <f t="shared" si="368"/>
        <v>-4982.1371167270509</v>
      </c>
      <c r="K280" s="205">
        <f t="shared" si="383"/>
        <v>-12920.936463227663</v>
      </c>
      <c r="L280" s="205">
        <f t="shared" si="384"/>
        <v>1481720.1985548877</v>
      </c>
      <c r="M280" s="199"/>
      <c r="N280" s="200">
        <f t="shared" ca="1" si="385"/>
        <v>10</v>
      </c>
      <c r="O280" s="509">
        <f t="shared" ca="1" si="369"/>
        <v>111</v>
      </c>
      <c r="P280" s="200">
        <f t="shared" ca="1" si="370"/>
        <v>10</v>
      </c>
      <c r="Q280" s="201">
        <f t="shared" si="363"/>
        <v>11</v>
      </c>
      <c r="R280" s="202">
        <f t="shared" si="400"/>
        <v>47788</v>
      </c>
      <c r="S280" s="203">
        <f t="shared" si="386"/>
        <v>0.04</v>
      </c>
      <c r="T280" s="204">
        <f t="shared" ca="1" si="387"/>
        <v>76</v>
      </c>
      <c r="U280" s="205">
        <f t="shared" ca="1" si="388"/>
        <v>438730.93877600727</v>
      </c>
      <c r="V280" s="205">
        <f t="shared" ca="1" si="371"/>
        <v>-2387.076477327299</v>
      </c>
      <c r="W280" s="205">
        <f t="shared" ca="1" si="372"/>
        <v>-1462.4364625866911</v>
      </c>
      <c r="X280" s="205">
        <f t="shared" ca="1" si="389"/>
        <v>-924.64001474060797</v>
      </c>
      <c r="Y280" s="205">
        <f t="shared" ca="1" si="390"/>
        <v>437806.29876126669</v>
      </c>
      <c r="Z280" s="199"/>
      <c r="AA280" s="200">
        <f t="shared" ca="1" si="378"/>
        <v>22</v>
      </c>
      <c r="AB280" s="509">
        <f t="shared" ca="1" si="373"/>
        <v>262</v>
      </c>
      <c r="AC280" s="200">
        <f t="shared" si="374"/>
        <v>22</v>
      </c>
      <c r="AD280" s="201">
        <f t="shared" si="364"/>
        <v>11</v>
      </c>
      <c r="AE280" s="202">
        <f t="shared" ca="1" si="401"/>
        <v>52383</v>
      </c>
      <c r="AF280" s="203">
        <f>IF(Dashboard!$R$24="Float",AF279+Dashboard!$R$24/12,AF279)</f>
        <v>0.06</v>
      </c>
      <c r="AG280" s="204">
        <f t="shared" si="391"/>
        <v>263</v>
      </c>
      <c r="AH280" s="205">
        <f t="shared" si="392"/>
        <v>0</v>
      </c>
      <c r="AI280" s="205">
        <f t="shared" si="375"/>
        <v>0</v>
      </c>
      <c r="AJ280" s="205">
        <f t="shared" si="376"/>
        <v>0</v>
      </c>
      <c r="AK280" s="205">
        <f t="shared" si="393"/>
        <v>0</v>
      </c>
      <c r="AL280" s="205">
        <f t="shared" si="394"/>
        <v>0</v>
      </c>
      <c r="AM280" s="199"/>
      <c r="AN280" s="200">
        <f t="shared" si="377"/>
        <v>23</v>
      </c>
      <c r="AO280" s="201">
        <f t="shared" si="365"/>
        <v>11</v>
      </c>
      <c r="AP280" s="202">
        <f t="shared" ca="1" si="402"/>
        <v>52383</v>
      </c>
      <c r="AQ280" s="203">
        <f>IF(Dashboard!$S$20="Float",AQ279+Dashboard!$T$20/12,AQ279)</f>
        <v>4.4999999999999998E-2</v>
      </c>
      <c r="AR280" s="204">
        <f t="shared" si="395"/>
        <v>263</v>
      </c>
      <c r="AS280" s="205">
        <f t="shared" si="396"/>
        <v>1483476.773374683</v>
      </c>
      <c r="AT280" s="205">
        <f t="shared" si="379"/>
        <v>-18117.071455543854</v>
      </c>
      <c r="AU280" s="205">
        <f t="shared" si="380"/>
        <v>-5563.0379001550609</v>
      </c>
      <c r="AV280" s="205">
        <f t="shared" si="397"/>
        <v>-12554.033555388793</v>
      </c>
      <c r="AW280" s="205">
        <f t="shared" si="398"/>
        <v>1470922.7398192943</v>
      </c>
      <c r="AX280" s="199"/>
    </row>
    <row r="281" spans="1:50">
      <c r="A281" s="73"/>
      <c r="B281" s="570"/>
      <c r="C281" s="200">
        <f t="shared" si="366"/>
        <v>22</v>
      </c>
      <c r="D281" s="201">
        <f t="shared" si="362"/>
        <v>12</v>
      </c>
      <c r="E281" s="202">
        <f t="shared" ca="1" si="399"/>
        <v>52413</v>
      </c>
      <c r="F281" s="203">
        <f>IF(Dashboard!$Q$5="Float",F280+Dashboard!$R$5/12,F280)</f>
        <v>0.04</v>
      </c>
      <c r="G281" s="204">
        <f t="shared" si="381"/>
        <v>264</v>
      </c>
      <c r="H281" s="205">
        <f t="shared" si="382"/>
        <v>1481720.1985548877</v>
      </c>
      <c r="I281" s="205">
        <f t="shared" si="367"/>
        <v>-17903.073579954722</v>
      </c>
      <c r="J281" s="205">
        <f t="shared" si="368"/>
        <v>-4939.067328516292</v>
      </c>
      <c r="K281" s="205">
        <f t="shared" si="383"/>
        <v>-12964.00625143843</v>
      </c>
      <c r="L281" s="205">
        <f t="shared" si="384"/>
        <v>1468756.1923034491</v>
      </c>
      <c r="M281" s="199"/>
      <c r="N281" s="200">
        <f t="shared" ca="1" si="385"/>
        <v>10</v>
      </c>
      <c r="O281" s="509">
        <f t="shared" ca="1" si="369"/>
        <v>112</v>
      </c>
      <c r="P281" s="200">
        <f t="shared" ca="1" si="370"/>
        <v>10</v>
      </c>
      <c r="Q281" s="201">
        <f t="shared" si="363"/>
        <v>12</v>
      </c>
      <c r="R281" s="202">
        <f t="shared" si="400"/>
        <v>47818</v>
      </c>
      <c r="S281" s="203">
        <f t="shared" si="386"/>
        <v>0.04</v>
      </c>
      <c r="T281" s="204">
        <f t="shared" ca="1" si="387"/>
        <v>77</v>
      </c>
      <c r="U281" s="205">
        <f t="shared" ca="1" si="388"/>
        <v>437806.29876126669</v>
      </c>
      <c r="V281" s="205">
        <f t="shared" ca="1" si="371"/>
        <v>-2387.076477327299</v>
      </c>
      <c r="W281" s="205">
        <f t="shared" ca="1" si="372"/>
        <v>-1459.3543292042223</v>
      </c>
      <c r="X281" s="205">
        <f t="shared" ca="1" si="389"/>
        <v>-927.72214812307675</v>
      </c>
      <c r="Y281" s="205">
        <f t="shared" ca="1" si="390"/>
        <v>436878.57661314361</v>
      </c>
      <c r="Z281" s="199"/>
      <c r="AA281" s="200">
        <f t="shared" ca="1" si="378"/>
        <v>22</v>
      </c>
      <c r="AB281" s="509">
        <f t="shared" ca="1" si="373"/>
        <v>263</v>
      </c>
      <c r="AC281" s="200">
        <f t="shared" si="374"/>
        <v>22</v>
      </c>
      <c r="AD281" s="201">
        <f t="shared" si="364"/>
        <v>12</v>
      </c>
      <c r="AE281" s="202">
        <f t="shared" ca="1" si="401"/>
        <v>52413</v>
      </c>
      <c r="AF281" s="203">
        <f>IF(Dashboard!$R$24="Float",AF280+Dashboard!$R$24/12,AF280)</f>
        <v>0.06</v>
      </c>
      <c r="AG281" s="204">
        <f t="shared" si="391"/>
        <v>264</v>
      </c>
      <c r="AH281" s="205">
        <f t="shared" si="392"/>
        <v>0</v>
      </c>
      <c r="AI281" s="205">
        <f t="shared" si="375"/>
        <v>0</v>
      </c>
      <c r="AJ281" s="205">
        <f t="shared" si="376"/>
        <v>0</v>
      </c>
      <c r="AK281" s="205">
        <f t="shared" si="393"/>
        <v>0</v>
      </c>
      <c r="AL281" s="205">
        <f t="shared" si="394"/>
        <v>0</v>
      </c>
      <c r="AM281" s="199"/>
      <c r="AN281" s="200">
        <f t="shared" si="377"/>
        <v>23</v>
      </c>
      <c r="AO281" s="201">
        <f t="shared" si="365"/>
        <v>12</v>
      </c>
      <c r="AP281" s="202">
        <f t="shared" ca="1" si="402"/>
        <v>52413</v>
      </c>
      <c r="AQ281" s="203">
        <f>IF(Dashboard!$S$20="Float",AQ280+Dashboard!$T$20/12,AQ280)</f>
        <v>4.4999999999999998E-2</v>
      </c>
      <c r="AR281" s="204">
        <f t="shared" si="395"/>
        <v>264</v>
      </c>
      <c r="AS281" s="205">
        <f t="shared" si="396"/>
        <v>1470922.7398192943</v>
      </c>
      <c r="AT281" s="205">
        <f t="shared" si="379"/>
        <v>-18117.071455543857</v>
      </c>
      <c r="AU281" s="205">
        <f t="shared" si="380"/>
        <v>-5515.9602743223541</v>
      </c>
      <c r="AV281" s="205">
        <f t="shared" si="397"/>
        <v>-12601.111181221502</v>
      </c>
      <c r="AW281" s="205">
        <f t="shared" si="398"/>
        <v>1458321.6286380729</v>
      </c>
      <c r="AX281" s="199"/>
    </row>
    <row r="282" spans="1:50">
      <c r="A282" s="73"/>
      <c r="B282" s="571">
        <f>+C282</f>
        <v>23</v>
      </c>
      <c r="C282" s="16">
        <f t="shared" ref="C282" si="403">+C281+1</f>
        <v>23</v>
      </c>
      <c r="D282" s="17">
        <v>1</v>
      </c>
      <c r="E282" s="18">
        <f t="shared" ca="1" si="399"/>
        <v>52444</v>
      </c>
      <c r="F282" s="10">
        <f>IF(Dashboard!$Q$5="Float",F281+Dashboard!$R$5/12,F281)</f>
        <v>0.04</v>
      </c>
      <c r="G282" s="14">
        <f t="shared" si="381"/>
        <v>265</v>
      </c>
      <c r="H282" s="5">
        <f t="shared" si="382"/>
        <v>1468756.1923034491</v>
      </c>
      <c r="I282" s="5">
        <f t="shared" si="367"/>
        <v>-17903.073579954715</v>
      </c>
      <c r="J282" s="5">
        <f t="shared" si="368"/>
        <v>-4895.85397434483</v>
      </c>
      <c r="K282" s="5">
        <f t="shared" si="383"/>
        <v>-13007.219605609884</v>
      </c>
      <c r="L282" s="5">
        <f t="shared" si="384"/>
        <v>1455748.9726978394</v>
      </c>
      <c r="M282" s="199"/>
      <c r="N282" s="16">
        <f t="shared" ca="1" si="385"/>
        <v>10</v>
      </c>
      <c r="O282" s="508">
        <f t="shared" ca="1" si="369"/>
        <v>113</v>
      </c>
      <c r="P282" s="16">
        <f t="shared" ca="1" si="370"/>
        <v>10</v>
      </c>
      <c r="Q282" s="17">
        <v>1</v>
      </c>
      <c r="R282" s="18">
        <f t="shared" si="400"/>
        <v>47849</v>
      </c>
      <c r="S282" s="10">
        <f t="shared" si="386"/>
        <v>0.04</v>
      </c>
      <c r="T282" s="14">
        <f t="shared" ca="1" si="387"/>
        <v>78</v>
      </c>
      <c r="U282" s="5">
        <f t="shared" ca="1" si="388"/>
        <v>436878.57661314361</v>
      </c>
      <c r="V282" s="5">
        <f t="shared" ca="1" si="371"/>
        <v>-2387.076477327299</v>
      </c>
      <c r="W282" s="5">
        <f t="shared" ca="1" si="372"/>
        <v>-1456.2619220438121</v>
      </c>
      <c r="X282" s="5">
        <f t="shared" ca="1" si="389"/>
        <v>-930.81455528348692</v>
      </c>
      <c r="Y282" s="5">
        <f t="shared" ca="1" si="390"/>
        <v>435947.76205786015</v>
      </c>
      <c r="Z282" s="199"/>
      <c r="AA282" s="16">
        <f t="shared" ca="1" si="378"/>
        <v>22</v>
      </c>
      <c r="AB282" s="508">
        <f t="shared" ca="1" si="373"/>
        <v>264</v>
      </c>
      <c r="AC282" s="16">
        <f t="shared" ref="AC282" si="404">+AC281+1</f>
        <v>23</v>
      </c>
      <c r="AD282" s="17">
        <v>1</v>
      </c>
      <c r="AE282" s="18">
        <f t="shared" ca="1" si="401"/>
        <v>52444</v>
      </c>
      <c r="AF282" s="10">
        <f>IF(Dashboard!$R$24="Float",AF281+Dashboard!$R$24/12,AF281)</f>
        <v>0.06</v>
      </c>
      <c r="AG282" s="14">
        <f t="shared" si="391"/>
        <v>265</v>
      </c>
      <c r="AH282" s="5">
        <f t="shared" si="392"/>
        <v>0</v>
      </c>
      <c r="AI282" s="5">
        <f t="shared" si="375"/>
        <v>0</v>
      </c>
      <c r="AJ282" s="5">
        <f t="shared" si="376"/>
        <v>0</v>
      </c>
      <c r="AK282" s="5">
        <f t="shared" si="393"/>
        <v>0</v>
      </c>
      <c r="AL282" s="5">
        <f t="shared" si="394"/>
        <v>0</v>
      </c>
      <c r="AM282" s="199"/>
      <c r="AN282" s="16">
        <f t="shared" ref="AN282" si="405">+AN281+1</f>
        <v>24</v>
      </c>
      <c r="AO282" s="17">
        <v>1</v>
      </c>
      <c r="AP282" s="18">
        <f t="shared" ca="1" si="402"/>
        <v>52444</v>
      </c>
      <c r="AQ282" s="10">
        <f>IF(Dashboard!$S$20="Float",AQ281+Dashboard!$T$20/12,AQ281)</f>
        <v>4.4999999999999998E-2</v>
      </c>
      <c r="AR282" s="14">
        <f t="shared" si="395"/>
        <v>265</v>
      </c>
      <c r="AS282" s="5">
        <f t="shared" si="396"/>
        <v>1458321.6286380729</v>
      </c>
      <c r="AT282" s="5">
        <f t="shared" si="379"/>
        <v>-18117.071455543854</v>
      </c>
      <c r="AU282" s="5">
        <f t="shared" si="380"/>
        <v>-5468.7061073927725</v>
      </c>
      <c r="AV282" s="5">
        <f t="shared" si="397"/>
        <v>-12648.365348151081</v>
      </c>
      <c r="AW282" s="5">
        <f t="shared" si="398"/>
        <v>1445673.2632899217</v>
      </c>
      <c r="AX282" s="199"/>
    </row>
    <row r="283" spans="1:50">
      <c r="A283" s="73"/>
      <c r="B283" s="572"/>
      <c r="C283" s="16">
        <f>+C282</f>
        <v>23</v>
      </c>
      <c r="D283" s="17">
        <f>+D282+1</f>
        <v>2</v>
      </c>
      <c r="E283" s="18">
        <f t="shared" ca="1" si="399"/>
        <v>52475</v>
      </c>
      <c r="F283" s="10">
        <f>IF(Dashboard!$Q$5="Float",F282+Dashboard!$R$5/12,F282)</f>
        <v>0.04</v>
      </c>
      <c r="G283" s="14">
        <f t="shared" si="381"/>
        <v>266</v>
      </c>
      <c r="H283" s="5">
        <f t="shared" si="382"/>
        <v>1455748.9726978394</v>
      </c>
      <c r="I283" s="5">
        <f t="shared" si="367"/>
        <v>-17903.073579954718</v>
      </c>
      <c r="J283" s="5">
        <f t="shared" si="368"/>
        <v>-4852.4965756594647</v>
      </c>
      <c r="K283" s="5">
        <f t="shared" si="383"/>
        <v>-13050.577004295254</v>
      </c>
      <c r="L283" s="5">
        <f t="shared" si="384"/>
        <v>1442698.3956935441</v>
      </c>
      <c r="M283" s="199"/>
      <c r="N283" s="16">
        <f t="shared" ca="1" si="385"/>
        <v>10</v>
      </c>
      <c r="O283" s="508">
        <f t="shared" ca="1" si="369"/>
        <v>114</v>
      </c>
      <c r="P283" s="16">
        <f t="shared" ca="1" si="370"/>
        <v>10</v>
      </c>
      <c r="Q283" s="17">
        <f>+Q282+1</f>
        <v>2</v>
      </c>
      <c r="R283" s="18">
        <f t="shared" si="400"/>
        <v>47880</v>
      </c>
      <c r="S283" s="10">
        <f t="shared" si="386"/>
        <v>0.04</v>
      </c>
      <c r="T283" s="14">
        <f t="shared" ca="1" si="387"/>
        <v>79</v>
      </c>
      <c r="U283" s="5">
        <f t="shared" ca="1" si="388"/>
        <v>435947.76205786015</v>
      </c>
      <c r="V283" s="5">
        <f t="shared" ca="1" si="371"/>
        <v>-2387.0764773272995</v>
      </c>
      <c r="W283" s="5">
        <f t="shared" ca="1" si="372"/>
        <v>-1453.1592068595339</v>
      </c>
      <c r="X283" s="5">
        <f t="shared" ca="1" si="389"/>
        <v>-933.91727046776555</v>
      </c>
      <c r="Y283" s="5">
        <f t="shared" ca="1" si="390"/>
        <v>435013.84478739236</v>
      </c>
      <c r="Z283" s="199"/>
      <c r="AA283" s="16">
        <f t="shared" ca="1" si="378"/>
        <v>23</v>
      </c>
      <c r="AB283" s="508">
        <f t="shared" ca="1" si="373"/>
        <v>265</v>
      </c>
      <c r="AC283" s="16">
        <f>+AC282</f>
        <v>23</v>
      </c>
      <c r="AD283" s="17">
        <f>+AD282+1</f>
        <v>2</v>
      </c>
      <c r="AE283" s="18">
        <f t="shared" ca="1" si="401"/>
        <v>52475</v>
      </c>
      <c r="AF283" s="10">
        <f>IF(Dashboard!$R$24="Float",AF282+Dashboard!$R$24/12,AF282)</f>
        <v>0.06</v>
      </c>
      <c r="AG283" s="14">
        <f t="shared" si="391"/>
        <v>266</v>
      </c>
      <c r="AH283" s="5">
        <f t="shared" si="392"/>
        <v>0</v>
      </c>
      <c r="AI283" s="5">
        <f t="shared" si="375"/>
        <v>0</v>
      </c>
      <c r="AJ283" s="5">
        <f t="shared" si="376"/>
        <v>0</v>
      </c>
      <c r="AK283" s="5">
        <f t="shared" si="393"/>
        <v>0</v>
      </c>
      <c r="AL283" s="5">
        <f t="shared" si="394"/>
        <v>0</v>
      </c>
      <c r="AM283" s="199"/>
      <c r="AN283" s="16">
        <f>+AN282</f>
        <v>24</v>
      </c>
      <c r="AO283" s="17">
        <f>+AO282+1</f>
        <v>2</v>
      </c>
      <c r="AP283" s="18">
        <f t="shared" ca="1" si="402"/>
        <v>52475</v>
      </c>
      <c r="AQ283" s="10">
        <f>IF(Dashboard!$S$20="Float",AQ282+Dashboard!$T$20/12,AQ282)</f>
        <v>4.4999999999999998E-2</v>
      </c>
      <c r="AR283" s="14">
        <f t="shared" si="395"/>
        <v>266</v>
      </c>
      <c r="AS283" s="5">
        <f t="shared" si="396"/>
        <v>1445673.2632899217</v>
      </c>
      <c r="AT283" s="5">
        <f t="shared" si="379"/>
        <v>-18117.071455543857</v>
      </c>
      <c r="AU283" s="5">
        <f t="shared" si="380"/>
        <v>-5421.2747373372067</v>
      </c>
      <c r="AV283" s="5">
        <f t="shared" si="397"/>
        <v>-12695.79671820665</v>
      </c>
      <c r="AW283" s="5">
        <f t="shared" si="398"/>
        <v>1432977.466571715</v>
      </c>
      <c r="AX283" s="199"/>
    </row>
    <row r="284" spans="1:50">
      <c r="A284" s="73"/>
      <c r="B284" s="572"/>
      <c r="C284" s="16">
        <f>+C283</f>
        <v>23</v>
      </c>
      <c r="D284" s="17">
        <f>+D283+1</f>
        <v>3</v>
      </c>
      <c r="E284" s="18">
        <f t="shared" ca="1" si="399"/>
        <v>52505</v>
      </c>
      <c r="F284" s="10">
        <f>IF(Dashboard!$Q$5="Float",F283+Dashboard!$R$5/12,F283)</f>
        <v>0.04</v>
      </c>
      <c r="G284" s="14">
        <f t="shared" si="381"/>
        <v>267</v>
      </c>
      <c r="H284" s="5">
        <f t="shared" si="382"/>
        <v>1442698.3956935441</v>
      </c>
      <c r="I284" s="5">
        <f t="shared" si="367"/>
        <v>-17903.073579954715</v>
      </c>
      <c r="J284" s="5">
        <f t="shared" si="368"/>
        <v>-4808.9946523118133</v>
      </c>
      <c r="K284" s="5">
        <f t="shared" si="383"/>
        <v>-13094.078927642902</v>
      </c>
      <c r="L284" s="5">
        <f t="shared" si="384"/>
        <v>1429604.3167659012</v>
      </c>
      <c r="M284" s="199"/>
      <c r="N284" s="16">
        <f t="shared" ca="1" si="385"/>
        <v>10</v>
      </c>
      <c r="O284" s="508">
        <f t="shared" ca="1" si="369"/>
        <v>115</v>
      </c>
      <c r="P284" s="16">
        <f t="shared" ca="1" si="370"/>
        <v>10</v>
      </c>
      <c r="Q284" s="17">
        <f>+Q283+1</f>
        <v>3</v>
      </c>
      <c r="R284" s="18">
        <f t="shared" si="400"/>
        <v>47908</v>
      </c>
      <c r="S284" s="10">
        <f t="shared" si="386"/>
        <v>0.04</v>
      </c>
      <c r="T284" s="14">
        <f t="shared" ca="1" si="387"/>
        <v>80</v>
      </c>
      <c r="U284" s="5">
        <f t="shared" ca="1" si="388"/>
        <v>435013.84478739236</v>
      </c>
      <c r="V284" s="5">
        <f t="shared" ca="1" si="371"/>
        <v>-2387.0764773272995</v>
      </c>
      <c r="W284" s="5">
        <f t="shared" ca="1" si="372"/>
        <v>-1450.046149291308</v>
      </c>
      <c r="X284" s="5">
        <f t="shared" ca="1" si="389"/>
        <v>-937.03032803599149</v>
      </c>
      <c r="Y284" s="5">
        <f t="shared" ca="1" si="390"/>
        <v>434076.81445935636</v>
      </c>
      <c r="Z284" s="199"/>
      <c r="AA284" s="16">
        <f t="shared" ca="1" si="378"/>
        <v>23</v>
      </c>
      <c r="AB284" s="508">
        <f t="shared" ca="1" si="373"/>
        <v>266</v>
      </c>
      <c r="AC284" s="16">
        <f>+AC283</f>
        <v>23</v>
      </c>
      <c r="AD284" s="17">
        <f>+AD283+1</f>
        <v>3</v>
      </c>
      <c r="AE284" s="18">
        <f t="shared" ca="1" si="401"/>
        <v>52505</v>
      </c>
      <c r="AF284" s="10">
        <f>IF(Dashboard!$R$24="Float",AF283+Dashboard!$R$24/12,AF283)</f>
        <v>0.06</v>
      </c>
      <c r="AG284" s="14">
        <f t="shared" si="391"/>
        <v>267</v>
      </c>
      <c r="AH284" s="5">
        <f t="shared" si="392"/>
        <v>0</v>
      </c>
      <c r="AI284" s="5">
        <f t="shared" si="375"/>
        <v>0</v>
      </c>
      <c r="AJ284" s="5">
        <f t="shared" si="376"/>
        <v>0</v>
      </c>
      <c r="AK284" s="5">
        <f t="shared" si="393"/>
        <v>0</v>
      </c>
      <c r="AL284" s="5">
        <f t="shared" si="394"/>
        <v>0</v>
      </c>
      <c r="AM284" s="199"/>
      <c r="AN284" s="16">
        <f>+AN283</f>
        <v>24</v>
      </c>
      <c r="AO284" s="17">
        <f>+AO283+1</f>
        <v>3</v>
      </c>
      <c r="AP284" s="18">
        <f t="shared" ca="1" si="402"/>
        <v>52505</v>
      </c>
      <c r="AQ284" s="10">
        <f>IF(Dashboard!$S$20="Float",AQ283+Dashboard!$T$20/12,AQ283)</f>
        <v>4.4999999999999998E-2</v>
      </c>
      <c r="AR284" s="14">
        <f t="shared" si="395"/>
        <v>267</v>
      </c>
      <c r="AS284" s="5">
        <f t="shared" si="396"/>
        <v>1432977.466571715</v>
      </c>
      <c r="AT284" s="5">
        <f t="shared" si="379"/>
        <v>-18117.07145554385</v>
      </c>
      <c r="AU284" s="5">
        <f t="shared" si="380"/>
        <v>-5373.6654996439311</v>
      </c>
      <c r="AV284" s="5">
        <f t="shared" si="397"/>
        <v>-12743.405955899918</v>
      </c>
      <c r="AW284" s="5">
        <f t="shared" si="398"/>
        <v>1420234.060615815</v>
      </c>
      <c r="AX284" s="199"/>
    </row>
    <row r="285" spans="1:50">
      <c r="A285" s="73"/>
      <c r="B285" s="572"/>
      <c r="C285" s="16">
        <f>+C284</f>
        <v>23</v>
      </c>
      <c r="D285" s="17">
        <f t="shared" ref="D285:D293" si="406">+D284+1</f>
        <v>4</v>
      </c>
      <c r="E285" s="18">
        <f t="shared" ca="1" si="399"/>
        <v>52536</v>
      </c>
      <c r="F285" s="10">
        <f>IF(Dashboard!$Q$5="Float",F284+Dashboard!$R$5/12,F284)</f>
        <v>0.04</v>
      </c>
      <c r="G285" s="14">
        <f t="shared" si="381"/>
        <v>268</v>
      </c>
      <c r="H285" s="5">
        <f t="shared" si="382"/>
        <v>1429604.3167659012</v>
      </c>
      <c r="I285" s="5">
        <f t="shared" si="367"/>
        <v>-17903.073579954718</v>
      </c>
      <c r="J285" s="5">
        <f t="shared" si="368"/>
        <v>-4765.3477225530041</v>
      </c>
      <c r="K285" s="5">
        <f t="shared" si="383"/>
        <v>-13137.725857401714</v>
      </c>
      <c r="L285" s="5">
        <f t="shared" si="384"/>
        <v>1416466.5909084994</v>
      </c>
      <c r="M285" s="199"/>
      <c r="N285" s="16">
        <f t="shared" ca="1" si="385"/>
        <v>10</v>
      </c>
      <c r="O285" s="508">
        <f t="shared" ca="1" si="369"/>
        <v>116</v>
      </c>
      <c r="P285" s="16">
        <f t="shared" ca="1" si="370"/>
        <v>10</v>
      </c>
      <c r="Q285" s="17">
        <f t="shared" ref="Q285:Q293" si="407">+Q284+1</f>
        <v>4</v>
      </c>
      <c r="R285" s="18">
        <f t="shared" si="400"/>
        <v>47939</v>
      </c>
      <c r="S285" s="10">
        <f t="shared" si="386"/>
        <v>0.04</v>
      </c>
      <c r="T285" s="14">
        <f t="shared" ca="1" si="387"/>
        <v>81</v>
      </c>
      <c r="U285" s="5">
        <f t="shared" ca="1" si="388"/>
        <v>434076.81445935636</v>
      </c>
      <c r="V285" s="5">
        <f t="shared" ca="1" si="371"/>
        <v>-2387.076477327299</v>
      </c>
      <c r="W285" s="5">
        <f t="shared" ca="1" si="372"/>
        <v>-1446.9227148645214</v>
      </c>
      <c r="X285" s="5">
        <f t="shared" ca="1" si="389"/>
        <v>-940.15376246277765</v>
      </c>
      <c r="Y285" s="5">
        <f t="shared" ca="1" si="390"/>
        <v>433136.66069689358</v>
      </c>
      <c r="Z285" s="199"/>
      <c r="AA285" s="16">
        <f t="shared" ca="1" si="378"/>
        <v>23</v>
      </c>
      <c r="AB285" s="508">
        <f t="shared" ca="1" si="373"/>
        <v>267</v>
      </c>
      <c r="AC285" s="16">
        <f>+AC284</f>
        <v>23</v>
      </c>
      <c r="AD285" s="17">
        <f t="shared" ref="AD285:AD293" si="408">+AD284+1</f>
        <v>4</v>
      </c>
      <c r="AE285" s="18">
        <f t="shared" ca="1" si="401"/>
        <v>52536</v>
      </c>
      <c r="AF285" s="10">
        <f>IF(Dashboard!$R$24="Float",AF284+Dashboard!$R$24/12,AF284)</f>
        <v>0.06</v>
      </c>
      <c r="AG285" s="14">
        <f t="shared" si="391"/>
        <v>268</v>
      </c>
      <c r="AH285" s="5">
        <f t="shared" si="392"/>
        <v>0</v>
      </c>
      <c r="AI285" s="5">
        <f t="shared" si="375"/>
        <v>0</v>
      </c>
      <c r="AJ285" s="5">
        <f t="shared" si="376"/>
        <v>0</v>
      </c>
      <c r="AK285" s="5">
        <f t="shared" si="393"/>
        <v>0</v>
      </c>
      <c r="AL285" s="5">
        <f t="shared" si="394"/>
        <v>0</v>
      </c>
      <c r="AM285" s="199"/>
      <c r="AN285" s="16">
        <f>+AN284</f>
        <v>24</v>
      </c>
      <c r="AO285" s="17">
        <f t="shared" ref="AO285:AO293" si="409">+AO284+1</f>
        <v>4</v>
      </c>
      <c r="AP285" s="18">
        <f t="shared" ca="1" si="402"/>
        <v>52536</v>
      </c>
      <c r="AQ285" s="10">
        <f>IF(Dashboard!$S$20="Float",AQ284+Dashboard!$T$20/12,AQ284)</f>
        <v>4.4999999999999998E-2</v>
      </c>
      <c r="AR285" s="14">
        <f t="shared" si="395"/>
        <v>268</v>
      </c>
      <c r="AS285" s="5">
        <f t="shared" si="396"/>
        <v>1420234.060615815</v>
      </c>
      <c r="AT285" s="5">
        <f t="shared" si="379"/>
        <v>-18117.07145554385</v>
      </c>
      <c r="AU285" s="5">
        <f t="shared" si="380"/>
        <v>-5325.8777273093065</v>
      </c>
      <c r="AV285" s="5">
        <f t="shared" si="397"/>
        <v>-12791.193728234543</v>
      </c>
      <c r="AW285" s="5">
        <f t="shared" si="398"/>
        <v>1407442.8668875804</v>
      </c>
      <c r="AX285" s="199"/>
    </row>
    <row r="286" spans="1:50">
      <c r="A286" s="73"/>
      <c r="B286" s="572"/>
      <c r="C286" s="16">
        <f t="shared" ref="C286:C293" si="410">+C285</f>
        <v>23</v>
      </c>
      <c r="D286" s="17">
        <f t="shared" si="406"/>
        <v>5</v>
      </c>
      <c r="E286" s="18">
        <f t="shared" ca="1" si="399"/>
        <v>52566</v>
      </c>
      <c r="F286" s="10">
        <f>IF(Dashboard!$Q$5="Float",F285+Dashboard!$R$5/12,F285)</f>
        <v>0.04</v>
      </c>
      <c r="G286" s="14">
        <f t="shared" si="381"/>
        <v>269</v>
      </c>
      <c r="H286" s="5">
        <f t="shared" si="382"/>
        <v>1416466.5909084994</v>
      </c>
      <c r="I286" s="5">
        <f t="shared" si="367"/>
        <v>-17903.073579954718</v>
      </c>
      <c r="J286" s="5">
        <f t="shared" si="368"/>
        <v>-4721.5553030283318</v>
      </c>
      <c r="K286" s="5">
        <f t="shared" si="383"/>
        <v>-13181.518276926387</v>
      </c>
      <c r="L286" s="5">
        <f t="shared" si="384"/>
        <v>1403285.0726315731</v>
      </c>
      <c r="M286" s="199"/>
      <c r="N286" s="16">
        <f t="shared" ca="1" si="385"/>
        <v>10</v>
      </c>
      <c r="O286" s="508">
        <f t="shared" ca="1" si="369"/>
        <v>117</v>
      </c>
      <c r="P286" s="16">
        <f t="shared" ca="1" si="370"/>
        <v>10</v>
      </c>
      <c r="Q286" s="17">
        <f t="shared" si="407"/>
        <v>5</v>
      </c>
      <c r="R286" s="18">
        <f t="shared" si="400"/>
        <v>47969</v>
      </c>
      <c r="S286" s="10">
        <f t="shared" si="386"/>
        <v>0.04</v>
      </c>
      <c r="T286" s="14">
        <f t="shared" ca="1" si="387"/>
        <v>82</v>
      </c>
      <c r="U286" s="5">
        <f t="shared" ca="1" si="388"/>
        <v>433136.66069689358</v>
      </c>
      <c r="V286" s="5">
        <f t="shared" ca="1" si="371"/>
        <v>-2387.076477327299</v>
      </c>
      <c r="W286" s="5">
        <f t="shared" ca="1" si="372"/>
        <v>-1443.7888689896454</v>
      </c>
      <c r="X286" s="5">
        <f t="shared" ca="1" si="389"/>
        <v>-943.28760833765364</v>
      </c>
      <c r="Y286" s="5">
        <f t="shared" ca="1" si="390"/>
        <v>432193.37308855593</v>
      </c>
      <c r="Z286" s="199"/>
      <c r="AA286" s="16">
        <f t="shared" ca="1" si="378"/>
        <v>23</v>
      </c>
      <c r="AB286" s="508">
        <f t="shared" ca="1" si="373"/>
        <v>268</v>
      </c>
      <c r="AC286" s="16">
        <f t="shared" ref="AC286:AC293" si="411">+AC285</f>
        <v>23</v>
      </c>
      <c r="AD286" s="17">
        <f t="shared" si="408"/>
        <v>5</v>
      </c>
      <c r="AE286" s="18">
        <f t="shared" ca="1" si="401"/>
        <v>52566</v>
      </c>
      <c r="AF286" s="10">
        <f>IF(Dashboard!$R$24="Float",AF285+Dashboard!$R$24/12,AF285)</f>
        <v>0.06</v>
      </c>
      <c r="AG286" s="14">
        <f t="shared" si="391"/>
        <v>269</v>
      </c>
      <c r="AH286" s="5">
        <f t="shared" si="392"/>
        <v>0</v>
      </c>
      <c r="AI286" s="5">
        <f t="shared" si="375"/>
        <v>0</v>
      </c>
      <c r="AJ286" s="5">
        <f t="shared" si="376"/>
        <v>0</v>
      </c>
      <c r="AK286" s="5">
        <f t="shared" si="393"/>
        <v>0</v>
      </c>
      <c r="AL286" s="5">
        <f t="shared" si="394"/>
        <v>0</v>
      </c>
      <c r="AM286" s="199"/>
      <c r="AN286" s="16">
        <f t="shared" ref="AN286:AN293" si="412">+AN285</f>
        <v>24</v>
      </c>
      <c r="AO286" s="17">
        <f t="shared" si="409"/>
        <v>5</v>
      </c>
      <c r="AP286" s="18">
        <f t="shared" ca="1" si="402"/>
        <v>52566</v>
      </c>
      <c r="AQ286" s="10">
        <f>IF(Dashboard!$S$20="Float",AQ285+Dashboard!$T$20/12,AQ285)</f>
        <v>4.4999999999999998E-2</v>
      </c>
      <c r="AR286" s="14">
        <f t="shared" si="395"/>
        <v>269</v>
      </c>
      <c r="AS286" s="5">
        <f t="shared" si="396"/>
        <v>1407442.8668875804</v>
      </c>
      <c r="AT286" s="5">
        <f t="shared" si="379"/>
        <v>-18117.07145554385</v>
      </c>
      <c r="AU286" s="5">
        <f t="shared" si="380"/>
        <v>-5277.910750828426</v>
      </c>
      <c r="AV286" s="5">
        <f t="shared" si="397"/>
        <v>-12839.160704715425</v>
      </c>
      <c r="AW286" s="5">
        <f t="shared" si="398"/>
        <v>1394603.706182865</v>
      </c>
      <c r="AX286" s="199"/>
    </row>
    <row r="287" spans="1:50">
      <c r="A287" s="73"/>
      <c r="B287" s="572"/>
      <c r="C287" s="16">
        <f t="shared" si="410"/>
        <v>23</v>
      </c>
      <c r="D287" s="17">
        <f t="shared" si="406"/>
        <v>6</v>
      </c>
      <c r="E287" s="18">
        <f t="shared" ca="1" si="399"/>
        <v>52597</v>
      </c>
      <c r="F287" s="10">
        <f>IF(Dashboard!$Q$5="Float",F286+Dashboard!$R$5/12,F286)</f>
        <v>0.04</v>
      </c>
      <c r="G287" s="14">
        <f t="shared" si="381"/>
        <v>270</v>
      </c>
      <c r="H287" s="5">
        <f t="shared" si="382"/>
        <v>1403285.0726315731</v>
      </c>
      <c r="I287" s="5">
        <f t="shared" si="367"/>
        <v>-17903.073579954718</v>
      </c>
      <c r="J287" s="5">
        <f t="shared" si="368"/>
        <v>-4677.6169087719109</v>
      </c>
      <c r="K287" s="5">
        <f t="shared" si="383"/>
        <v>-13225.456671182808</v>
      </c>
      <c r="L287" s="5">
        <f t="shared" si="384"/>
        <v>1390059.6159603903</v>
      </c>
      <c r="M287" s="199"/>
      <c r="N287" s="16">
        <f t="shared" ca="1" si="385"/>
        <v>10</v>
      </c>
      <c r="O287" s="508">
        <f t="shared" ca="1" si="369"/>
        <v>118</v>
      </c>
      <c r="P287" s="16">
        <f t="shared" ca="1" si="370"/>
        <v>10</v>
      </c>
      <c r="Q287" s="17">
        <f t="shared" si="407"/>
        <v>6</v>
      </c>
      <c r="R287" s="18">
        <f t="shared" si="400"/>
        <v>48000</v>
      </c>
      <c r="S287" s="10">
        <f t="shared" si="386"/>
        <v>0.04</v>
      </c>
      <c r="T287" s="14">
        <f t="shared" ca="1" si="387"/>
        <v>83</v>
      </c>
      <c r="U287" s="5">
        <f t="shared" ca="1" si="388"/>
        <v>432193.37308855593</v>
      </c>
      <c r="V287" s="5">
        <f t="shared" ca="1" si="371"/>
        <v>-2387.0764773272995</v>
      </c>
      <c r="W287" s="5">
        <f t="shared" ca="1" si="372"/>
        <v>-1440.6445769618531</v>
      </c>
      <c r="X287" s="5">
        <f t="shared" ca="1" si="389"/>
        <v>-946.43190036544638</v>
      </c>
      <c r="Y287" s="5">
        <f t="shared" ca="1" si="390"/>
        <v>431246.94118819048</v>
      </c>
      <c r="Z287" s="199"/>
      <c r="AA287" s="16">
        <f t="shared" ca="1" si="378"/>
        <v>23</v>
      </c>
      <c r="AB287" s="508">
        <f t="shared" ca="1" si="373"/>
        <v>269</v>
      </c>
      <c r="AC287" s="16">
        <f t="shared" si="411"/>
        <v>23</v>
      </c>
      <c r="AD287" s="17">
        <f t="shared" si="408"/>
        <v>6</v>
      </c>
      <c r="AE287" s="18">
        <f t="shared" ca="1" si="401"/>
        <v>52597</v>
      </c>
      <c r="AF287" s="10">
        <f>IF(Dashboard!$R$24="Float",AF286+Dashboard!$R$24/12,AF286)</f>
        <v>0.06</v>
      </c>
      <c r="AG287" s="14">
        <f t="shared" si="391"/>
        <v>270</v>
      </c>
      <c r="AH287" s="5">
        <f t="shared" si="392"/>
        <v>0</v>
      </c>
      <c r="AI287" s="5">
        <f t="shared" si="375"/>
        <v>0</v>
      </c>
      <c r="AJ287" s="5">
        <f t="shared" si="376"/>
        <v>0</v>
      </c>
      <c r="AK287" s="5">
        <f t="shared" si="393"/>
        <v>0</v>
      </c>
      <c r="AL287" s="5">
        <f t="shared" si="394"/>
        <v>0</v>
      </c>
      <c r="AM287" s="199"/>
      <c r="AN287" s="16">
        <f t="shared" si="412"/>
        <v>24</v>
      </c>
      <c r="AO287" s="17">
        <f t="shared" si="409"/>
        <v>6</v>
      </c>
      <c r="AP287" s="18">
        <f t="shared" ca="1" si="402"/>
        <v>52597</v>
      </c>
      <c r="AQ287" s="10">
        <f>IF(Dashboard!$S$20="Float",AQ286+Dashboard!$T$20/12,AQ286)</f>
        <v>4.4999999999999998E-2</v>
      </c>
      <c r="AR287" s="14">
        <f t="shared" si="395"/>
        <v>270</v>
      </c>
      <c r="AS287" s="5">
        <f t="shared" si="396"/>
        <v>1394603.706182865</v>
      </c>
      <c r="AT287" s="5">
        <f t="shared" si="379"/>
        <v>-18117.071455543854</v>
      </c>
      <c r="AU287" s="5">
        <f t="shared" si="380"/>
        <v>-5229.7638981857435</v>
      </c>
      <c r="AV287" s="5">
        <f t="shared" si="397"/>
        <v>-12887.30755735811</v>
      </c>
      <c r="AW287" s="5">
        <f t="shared" si="398"/>
        <v>1381716.3986255068</v>
      </c>
      <c r="AX287" s="199"/>
    </row>
    <row r="288" spans="1:50">
      <c r="A288" s="73"/>
      <c r="B288" s="572"/>
      <c r="C288" s="16">
        <f t="shared" si="410"/>
        <v>23</v>
      </c>
      <c r="D288" s="17">
        <f t="shared" si="406"/>
        <v>7</v>
      </c>
      <c r="E288" s="18">
        <f t="shared" ca="1" si="399"/>
        <v>52628</v>
      </c>
      <c r="F288" s="10">
        <f>IF(Dashboard!$Q$5="Float",F287+Dashboard!$R$5/12,F287)</f>
        <v>0.04</v>
      </c>
      <c r="G288" s="14">
        <f t="shared" si="381"/>
        <v>271</v>
      </c>
      <c r="H288" s="5">
        <f t="shared" si="382"/>
        <v>1390059.6159603903</v>
      </c>
      <c r="I288" s="5">
        <f t="shared" si="367"/>
        <v>-17903.073579954718</v>
      </c>
      <c r="J288" s="5">
        <f t="shared" si="368"/>
        <v>-4633.5320532013011</v>
      </c>
      <c r="K288" s="5">
        <f t="shared" si="383"/>
        <v>-13269.541526753417</v>
      </c>
      <c r="L288" s="5">
        <f t="shared" si="384"/>
        <v>1376790.0744336369</v>
      </c>
      <c r="M288" s="199"/>
      <c r="N288" s="16">
        <f t="shared" ca="1" si="385"/>
        <v>10</v>
      </c>
      <c r="O288" s="508">
        <f t="shared" ca="1" si="369"/>
        <v>119</v>
      </c>
      <c r="P288" s="16">
        <f t="shared" ca="1" si="370"/>
        <v>10</v>
      </c>
      <c r="Q288" s="17">
        <f t="shared" si="407"/>
        <v>7</v>
      </c>
      <c r="R288" s="18">
        <f t="shared" si="400"/>
        <v>48030</v>
      </c>
      <c r="S288" s="10">
        <f t="shared" si="386"/>
        <v>0.04</v>
      </c>
      <c r="T288" s="14">
        <f t="shared" ca="1" si="387"/>
        <v>84</v>
      </c>
      <c r="U288" s="5">
        <f t="shared" ca="1" si="388"/>
        <v>431246.94118819048</v>
      </c>
      <c r="V288" s="5">
        <f t="shared" ca="1" si="371"/>
        <v>-2387.076477327299</v>
      </c>
      <c r="W288" s="5">
        <f t="shared" ca="1" si="372"/>
        <v>-1437.4898039606351</v>
      </c>
      <c r="X288" s="5">
        <f t="shared" ca="1" si="389"/>
        <v>-949.58667336666394</v>
      </c>
      <c r="Y288" s="5">
        <f t="shared" ca="1" si="390"/>
        <v>430297.35451482382</v>
      </c>
      <c r="Z288" s="199"/>
      <c r="AA288" s="16">
        <f t="shared" ca="1" si="378"/>
        <v>23</v>
      </c>
      <c r="AB288" s="508">
        <f t="shared" ca="1" si="373"/>
        <v>270</v>
      </c>
      <c r="AC288" s="16">
        <f t="shared" si="411"/>
        <v>23</v>
      </c>
      <c r="AD288" s="17">
        <f t="shared" si="408"/>
        <v>7</v>
      </c>
      <c r="AE288" s="18">
        <f t="shared" ca="1" si="401"/>
        <v>52628</v>
      </c>
      <c r="AF288" s="10">
        <f>IF(Dashboard!$R$24="Float",AF287+Dashboard!$R$24/12,AF287)</f>
        <v>0.06</v>
      </c>
      <c r="AG288" s="14">
        <f t="shared" si="391"/>
        <v>271</v>
      </c>
      <c r="AH288" s="5">
        <f t="shared" si="392"/>
        <v>0</v>
      </c>
      <c r="AI288" s="5">
        <f t="shared" si="375"/>
        <v>0</v>
      </c>
      <c r="AJ288" s="5">
        <f t="shared" si="376"/>
        <v>0</v>
      </c>
      <c r="AK288" s="5">
        <f t="shared" si="393"/>
        <v>0</v>
      </c>
      <c r="AL288" s="5">
        <f t="shared" si="394"/>
        <v>0</v>
      </c>
      <c r="AM288" s="199"/>
      <c r="AN288" s="16">
        <f t="shared" si="412"/>
        <v>24</v>
      </c>
      <c r="AO288" s="17">
        <f t="shared" si="409"/>
        <v>7</v>
      </c>
      <c r="AP288" s="18">
        <f t="shared" ca="1" si="402"/>
        <v>52628</v>
      </c>
      <c r="AQ288" s="10">
        <f>IF(Dashboard!$S$20="Float",AQ287+Dashboard!$T$20/12,AQ287)</f>
        <v>4.4999999999999998E-2</v>
      </c>
      <c r="AR288" s="14">
        <f t="shared" si="395"/>
        <v>271</v>
      </c>
      <c r="AS288" s="5">
        <f t="shared" si="396"/>
        <v>1381716.3986255068</v>
      </c>
      <c r="AT288" s="5">
        <f t="shared" si="379"/>
        <v>-18117.07145554385</v>
      </c>
      <c r="AU288" s="5">
        <f t="shared" si="380"/>
        <v>-5181.4364948456505</v>
      </c>
      <c r="AV288" s="5">
        <f t="shared" si="397"/>
        <v>-12935.6349606982</v>
      </c>
      <c r="AW288" s="5">
        <f t="shared" si="398"/>
        <v>1368780.7636648086</v>
      </c>
      <c r="AX288" s="199"/>
    </row>
    <row r="289" spans="1:50">
      <c r="A289" s="73"/>
      <c r="B289" s="572"/>
      <c r="C289" s="16">
        <f t="shared" si="410"/>
        <v>23</v>
      </c>
      <c r="D289" s="17">
        <f t="shared" si="406"/>
        <v>8</v>
      </c>
      <c r="E289" s="18">
        <f t="shared" ca="1" si="399"/>
        <v>52657</v>
      </c>
      <c r="F289" s="10">
        <f>IF(Dashboard!$Q$5="Float",F288+Dashboard!$R$5/12,F288)</f>
        <v>0.04</v>
      </c>
      <c r="G289" s="14">
        <f t="shared" si="381"/>
        <v>272</v>
      </c>
      <c r="H289" s="5">
        <f t="shared" si="382"/>
        <v>1376790.0744336369</v>
      </c>
      <c r="I289" s="5">
        <f t="shared" si="367"/>
        <v>-17903.073579954718</v>
      </c>
      <c r="J289" s="5">
        <f t="shared" si="368"/>
        <v>-4589.300248112123</v>
      </c>
      <c r="K289" s="5">
        <f t="shared" si="383"/>
        <v>-13313.773331842596</v>
      </c>
      <c r="L289" s="5">
        <f t="shared" si="384"/>
        <v>1363476.3011017942</v>
      </c>
      <c r="M289" s="199"/>
      <c r="N289" s="16">
        <f t="shared" ca="1" si="385"/>
        <v>10</v>
      </c>
      <c r="O289" s="508">
        <f t="shared" ca="1" si="369"/>
        <v>120</v>
      </c>
      <c r="P289" s="16">
        <f t="shared" ca="1" si="370"/>
        <v>11</v>
      </c>
      <c r="Q289" s="17">
        <f t="shared" si="407"/>
        <v>8</v>
      </c>
      <c r="R289" s="18">
        <f t="shared" si="400"/>
        <v>48061</v>
      </c>
      <c r="S289" s="10">
        <f t="shared" si="386"/>
        <v>0.04</v>
      </c>
      <c r="T289" s="14">
        <f t="shared" ca="1" si="387"/>
        <v>85</v>
      </c>
      <c r="U289" s="5">
        <f t="shared" ca="1" si="388"/>
        <v>430297.35451482382</v>
      </c>
      <c r="V289" s="5">
        <f t="shared" ca="1" si="371"/>
        <v>-2387.076477327299</v>
      </c>
      <c r="W289" s="5">
        <f t="shared" ca="1" si="372"/>
        <v>-1434.3245150494129</v>
      </c>
      <c r="X289" s="5">
        <f t="shared" ca="1" si="389"/>
        <v>-952.75196227788615</v>
      </c>
      <c r="Y289" s="5">
        <f t="shared" ca="1" si="390"/>
        <v>429344.60255254596</v>
      </c>
      <c r="Z289" s="199"/>
      <c r="AA289" s="16">
        <f t="shared" ca="1" si="378"/>
        <v>23</v>
      </c>
      <c r="AB289" s="508">
        <f t="shared" ca="1" si="373"/>
        <v>271</v>
      </c>
      <c r="AC289" s="16">
        <f t="shared" si="411"/>
        <v>23</v>
      </c>
      <c r="AD289" s="17">
        <f t="shared" si="408"/>
        <v>8</v>
      </c>
      <c r="AE289" s="18">
        <f t="shared" ca="1" si="401"/>
        <v>52657</v>
      </c>
      <c r="AF289" s="10">
        <f>IF(Dashboard!$R$24="Float",AF288+Dashboard!$R$24/12,AF288)</f>
        <v>0.06</v>
      </c>
      <c r="AG289" s="14">
        <f t="shared" si="391"/>
        <v>272</v>
      </c>
      <c r="AH289" s="5">
        <f t="shared" si="392"/>
        <v>0</v>
      </c>
      <c r="AI289" s="5">
        <f t="shared" si="375"/>
        <v>0</v>
      </c>
      <c r="AJ289" s="5">
        <f t="shared" si="376"/>
        <v>0</v>
      </c>
      <c r="AK289" s="5">
        <f t="shared" si="393"/>
        <v>0</v>
      </c>
      <c r="AL289" s="5">
        <f t="shared" si="394"/>
        <v>0</v>
      </c>
      <c r="AM289" s="199"/>
      <c r="AN289" s="16">
        <f t="shared" si="412"/>
        <v>24</v>
      </c>
      <c r="AO289" s="17">
        <f t="shared" si="409"/>
        <v>8</v>
      </c>
      <c r="AP289" s="18">
        <f t="shared" ca="1" si="402"/>
        <v>52657</v>
      </c>
      <c r="AQ289" s="10">
        <f>IF(Dashboard!$S$20="Float",AQ288+Dashboard!$T$20/12,AQ288)</f>
        <v>4.4999999999999998E-2</v>
      </c>
      <c r="AR289" s="14">
        <f t="shared" si="395"/>
        <v>272</v>
      </c>
      <c r="AS289" s="5">
        <f t="shared" si="396"/>
        <v>1368780.7636648086</v>
      </c>
      <c r="AT289" s="5">
        <f t="shared" si="379"/>
        <v>-18117.07145554385</v>
      </c>
      <c r="AU289" s="5">
        <f t="shared" si="380"/>
        <v>-5132.9278637430316</v>
      </c>
      <c r="AV289" s="5">
        <f t="shared" si="397"/>
        <v>-12984.143591800817</v>
      </c>
      <c r="AW289" s="5">
        <f t="shared" si="398"/>
        <v>1355796.6200730079</v>
      </c>
      <c r="AX289" s="199"/>
    </row>
    <row r="290" spans="1:50">
      <c r="A290" s="73"/>
      <c r="B290" s="572"/>
      <c r="C290" s="16">
        <f t="shared" si="410"/>
        <v>23</v>
      </c>
      <c r="D290" s="17">
        <f t="shared" si="406"/>
        <v>9</v>
      </c>
      <c r="E290" s="18">
        <f t="shared" ca="1" si="399"/>
        <v>52688</v>
      </c>
      <c r="F290" s="10">
        <f>IF(Dashboard!$Q$5="Float",F289+Dashboard!$R$5/12,F289)</f>
        <v>0.04</v>
      </c>
      <c r="G290" s="14">
        <f t="shared" si="381"/>
        <v>273</v>
      </c>
      <c r="H290" s="5">
        <f t="shared" si="382"/>
        <v>1363476.3011017942</v>
      </c>
      <c r="I290" s="5">
        <f t="shared" si="367"/>
        <v>-17903.073579954715</v>
      </c>
      <c r="J290" s="5">
        <f t="shared" si="368"/>
        <v>-4544.9210036726481</v>
      </c>
      <c r="K290" s="5">
        <f t="shared" si="383"/>
        <v>-13358.152576282067</v>
      </c>
      <c r="L290" s="5">
        <f t="shared" si="384"/>
        <v>1350118.1485255121</v>
      </c>
      <c r="M290" s="199"/>
      <c r="N290" s="16">
        <f t="shared" ca="1" si="385"/>
        <v>11</v>
      </c>
      <c r="O290" s="508">
        <f t="shared" ca="1" si="369"/>
        <v>121</v>
      </c>
      <c r="P290" s="16">
        <f t="shared" ca="1" si="370"/>
        <v>11</v>
      </c>
      <c r="Q290" s="17">
        <f t="shared" si="407"/>
        <v>9</v>
      </c>
      <c r="R290" s="18">
        <f t="shared" si="400"/>
        <v>48092</v>
      </c>
      <c r="S290" s="10">
        <f t="shared" si="386"/>
        <v>0.04</v>
      </c>
      <c r="T290" s="14">
        <f t="shared" ca="1" si="387"/>
        <v>86</v>
      </c>
      <c r="U290" s="5">
        <f t="shared" ca="1" si="388"/>
        <v>429344.60255254596</v>
      </c>
      <c r="V290" s="5">
        <f t="shared" ca="1" si="371"/>
        <v>-2387.076477327299</v>
      </c>
      <c r="W290" s="5">
        <f t="shared" ca="1" si="372"/>
        <v>-1431.1486751751534</v>
      </c>
      <c r="X290" s="5">
        <f t="shared" ca="1" si="389"/>
        <v>-955.92780215214566</v>
      </c>
      <c r="Y290" s="5">
        <f t="shared" ca="1" si="390"/>
        <v>428388.67475039384</v>
      </c>
      <c r="Z290" s="199"/>
      <c r="AA290" s="16">
        <f t="shared" ca="1" si="378"/>
        <v>23</v>
      </c>
      <c r="AB290" s="508">
        <f t="shared" ca="1" si="373"/>
        <v>272</v>
      </c>
      <c r="AC290" s="16">
        <f t="shared" si="411"/>
        <v>23</v>
      </c>
      <c r="AD290" s="17">
        <f t="shared" si="408"/>
        <v>9</v>
      </c>
      <c r="AE290" s="18">
        <f t="shared" ca="1" si="401"/>
        <v>52688</v>
      </c>
      <c r="AF290" s="10">
        <f>IF(Dashboard!$R$24="Float",AF289+Dashboard!$R$24/12,AF289)</f>
        <v>0.06</v>
      </c>
      <c r="AG290" s="14">
        <f t="shared" si="391"/>
        <v>273</v>
      </c>
      <c r="AH290" s="5">
        <f t="shared" si="392"/>
        <v>0</v>
      </c>
      <c r="AI290" s="5">
        <f t="shared" si="375"/>
        <v>0</v>
      </c>
      <c r="AJ290" s="5">
        <f t="shared" si="376"/>
        <v>0</v>
      </c>
      <c r="AK290" s="5">
        <f t="shared" si="393"/>
        <v>0</v>
      </c>
      <c r="AL290" s="5">
        <f t="shared" si="394"/>
        <v>0</v>
      </c>
      <c r="AM290" s="199"/>
      <c r="AN290" s="16">
        <f t="shared" si="412"/>
        <v>24</v>
      </c>
      <c r="AO290" s="17">
        <f t="shared" si="409"/>
        <v>9</v>
      </c>
      <c r="AP290" s="18">
        <f t="shared" ca="1" si="402"/>
        <v>52688</v>
      </c>
      <c r="AQ290" s="10">
        <f>IF(Dashboard!$S$20="Float",AQ289+Dashboard!$T$20/12,AQ289)</f>
        <v>4.4999999999999998E-2</v>
      </c>
      <c r="AR290" s="14">
        <f t="shared" si="395"/>
        <v>273</v>
      </c>
      <c r="AS290" s="5">
        <f t="shared" si="396"/>
        <v>1355796.6200730079</v>
      </c>
      <c r="AT290" s="5">
        <f t="shared" si="379"/>
        <v>-18117.071455543846</v>
      </c>
      <c r="AU290" s="5">
        <f t="shared" si="380"/>
        <v>-5084.2373252737789</v>
      </c>
      <c r="AV290" s="5">
        <f t="shared" si="397"/>
        <v>-13032.834130270068</v>
      </c>
      <c r="AW290" s="5">
        <f t="shared" si="398"/>
        <v>1342763.7859427377</v>
      </c>
      <c r="AX290" s="199"/>
    </row>
    <row r="291" spans="1:50">
      <c r="A291" s="73"/>
      <c r="B291" s="572"/>
      <c r="C291" s="16">
        <f t="shared" si="410"/>
        <v>23</v>
      </c>
      <c r="D291" s="17">
        <f t="shared" si="406"/>
        <v>10</v>
      </c>
      <c r="E291" s="18">
        <f t="shared" ca="1" si="399"/>
        <v>52718</v>
      </c>
      <c r="F291" s="10">
        <f>IF(Dashboard!$Q$5="Float",F290+Dashboard!$R$5/12,F290)</f>
        <v>0.04</v>
      </c>
      <c r="G291" s="14">
        <f t="shared" si="381"/>
        <v>274</v>
      </c>
      <c r="H291" s="5">
        <f t="shared" si="382"/>
        <v>1350118.1485255121</v>
      </c>
      <c r="I291" s="5">
        <f t="shared" si="367"/>
        <v>-17903.073579954718</v>
      </c>
      <c r="J291" s="5">
        <f t="shared" si="368"/>
        <v>-4500.3938284183741</v>
      </c>
      <c r="K291" s="5">
        <f t="shared" si="383"/>
        <v>-13402.679751536343</v>
      </c>
      <c r="L291" s="5">
        <f t="shared" si="384"/>
        <v>1336715.4687739757</v>
      </c>
      <c r="M291" s="199"/>
      <c r="N291" s="16">
        <f t="shared" ca="1" si="385"/>
        <v>11</v>
      </c>
      <c r="O291" s="508">
        <f t="shared" ca="1" si="369"/>
        <v>122</v>
      </c>
      <c r="P291" s="16">
        <f t="shared" ca="1" si="370"/>
        <v>11</v>
      </c>
      <c r="Q291" s="17">
        <f t="shared" si="407"/>
        <v>10</v>
      </c>
      <c r="R291" s="18">
        <f t="shared" si="400"/>
        <v>48122</v>
      </c>
      <c r="S291" s="10">
        <f t="shared" si="386"/>
        <v>0.04</v>
      </c>
      <c r="T291" s="14">
        <f t="shared" ca="1" si="387"/>
        <v>87</v>
      </c>
      <c r="U291" s="5">
        <f t="shared" ca="1" si="388"/>
        <v>428388.67475039384</v>
      </c>
      <c r="V291" s="5">
        <f t="shared" ca="1" si="371"/>
        <v>-2387.0764773272995</v>
      </c>
      <c r="W291" s="5">
        <f t="shared" ca="1" si="372"/>
        <v>-1427.9622491679795</v>
      </c>
      <c r="X291" s="5">
        <f t="shared" ca="1" si="389"/>
        <v>-959.11422815931996</v>
      </c>
      <c r="Y291" s="5">
        <f t="shared" ca="1" si="390"/>
        <v>427429.56052223453</v>
      </c>
      <c r="Z291" s="199"/>
      <c r="AA291" s="16">
        <f t="shared" ca="1" si="378"/>
        <v>23</v>
      </c>
      <c r="AB291" s="508">
        <f t="shared" ca="1" si="373"/>
        <v>273</v>
      </c>
      <c r="AC291" s="16">
        <f t="shared" si="411"/>
        <v>23</v>
      </c>
      <c r="AD291" s="17">
        <f t="shared" si="408"/>
        <v>10</v>
      </c>
      <c r="AE291" s="18">
        <f t="shared" ca="1" si="401"/>
        <v>52718</v>
      </c>
      <c r="AF291" s="10">
        <f>IF(Dashboard!$R$24="Float",AF290+Dashboard!$R$24/12,AF290)</f>
        <v>0.06</v>
      </c>
      <c r="AG291" s="14">
        <f t="shared" si="391"/>
        <v>274</v>
      </c>
      <c r="AH291" s="5">
        <f t="shared" si="392"/>
        <v>0</v>
      </c>
      <c r="AI291" s="5">
        <f t="shared" si="375"/>
        <v>0</v>
      </c>
      <c r="AJ291" s="5">
        <f t="shared" si="376"/>
        <v>0</v>
      </c>
      <c r="AK291" s="5">
        <f t="shared" si="393"/>
        <v>0</v>
      </c>
      <c r="AL291" s="5">
        <f t="shared" si="394"/>
        <v>0</v>
      </c>
      <c r="AM291" s="199"/>
      <c r="AN291" s="16">
        <f t="shared" si="412"/>
        <v>24</v>
      </c>
      <c r="AO291" s="17">
        <f t="shared" si="409"/>
        <v>10</v>
      </c>
      <c r="AP291" s="18">
        <f t="shared" ca="1" si="402"/>
        <v>52718</v>
      </c>
      <c r="AQ291" s="10">
        <f>IF(Dashboard!$S$20="Float",AQ290+Dashboard!$T$20/12,AQ290)</f>
        <v>4.4999999999999998E-2</v>
      </c>
      <c r="AR291" s="14">
        <f t="shared" si="395"/>
        <v>274</v>
      </c>
      <c r="AS291" s="5">
        <f t="shared" si="396"/>
        <v>1342763.7859427377</v>
      </c>
      <c r="AT291" s="5">
        <f t="shared" si="379"/>
        <v>-18117.07145554385</v>
      </c>
      <c r="AU291" s="5">
        <f t="shared" si="380"/>
        <v>-5035.3641972852665</v>
      </c>
      <c r="AV291" s="5">
        <f t="shared" si="397"/>
        <v>-13081.707258258582</v>
      </c>
      <c r="AW291" s="5">
        <f t="shared" si="398"/>
        <v>1329682.0786844792</v>
      </c>
      <c r="AX291" s="199"/>
    </row>
    <row r="292" spans="1:50">
      <c r="A292" s="73"/>
      <c r="B292" s="572"/>
      <c r="C292" s="16">
        <f t="shared" si="410"/>
        <v>23</v>
      </c>
      <c r="D292" s="17">
        <f t="shared" si="406"/>
        <v>11</v>
      </c>
      <c r="E292" s="18">
        <f t="shared" ca="1" si="399"/>
        <v>52749</v>
      </c>
      <c r="F292" s="10">
        <f>IF(Dashboard!$Q$5="Float",F291+Dashboard!$R$5/12,F291)</f>
        <v>0.04</v>
      </c>
      <c r="G292" s="14">
        <f t="shared" si="381"/>
        <v>275</v>
      </c>
      <c r="H292" s="5">
        <f t="shared" si="382"/>
        <v>1336715.4687739757</v>
      </c>
      <c r="I292" s="5">
        <f t="shared" si="367"/>
        <v>-17903.073579954715</v>
      </c>
      <c r="J292" s="5">
        <f t="shared" si="368"/>
        <v>-4455.7182292465859</v>
      </c>
      <c r="K292" s="5">
        <f t="shared" si="383"/>
        <v>-13447.355350708129</v>
      </c>
      <c r="L292" s="5">
        <f t="shared" si="384"/>
        <v>1323268.1134232676</v>
      </c>
      <c r="M292" s="199"/>
      <c r="N292" s="16">
        <f t="shared" ca="1" si="385"/>
        <v>11</v>
      </c>
      <c r="O292" s="508">
        <f t="shared" ca="1" si="369"/>
        <v>123</v>
      </c>
      <c r="P292" s="16">
        <f t="shared" ca="1" si="370"/>
        <v>11</v>
      </c>
      <c r="Q292" s="17">
        <f t="shared" si="407"/>
        <v>11</v>
      </c>
      <c r="R292" s="18">
        <f t="shared" si="400"/>
        <v>48153</v>
      </c>
      <c r="S292" s="10">
        <f t="shared" si="386"/>
        <v>0.04</v>
      </c>
      <c r="T292" s="14">
        <f t="shared" ca="1" si="387"/>
        <v>88</v>
      </c>
      <c r="U292" s="5">
        <f t="shared" ca="1" si="388"/>
        <v>427429.56052223453</v>
      </c>
      <c r="V292" s="5">
        <f t="shared" ca="1" si="371"/>
        <v>-2387.0764773272995</v>
      </c>
      <c r="W292" s="5">
        <f t="shared" ca="1" si="372"/>
        <v>-1424.7652017407818</v>
      </c>
      <c r="X292" s="5">
        <f t="shared" ca="1" si="389"/>
        <v>-962.3112755865177</v>
      </c>
      <c r="Y292" s="5">
        <f t="shared" ca="1" si="390"/>
        <v>426467.24924664799</v>
      </c>
      <c r="Z292" s="199"/>
      <c r="AA292" s="16">
        <f t="shared" ca="1" si="378"/>
        <v>23</v>
      </c>
      <c r="AB292" s="508">
        <f t="shared" ca="1" si="373"/>
        <v>274</v>
      </c>
      <c r="AC292" s="16">
        <f t="shared" si="411"/>
        <v>23</v>
      </c>
      <c r="AD292" s="17">
        <f t="shared" si="408"/>
        <v>11</v>
      </c>
      <c r="AE292" s="18">
        <f t="shared" ca="1" si="401"/>
        <v>52749</v>
      </c>
      <c r="AF292" s="10">
        <f>IF(Dashboard!$R$24="Float",AF291+Dashboard!$R$24/12,AF291)</f>
        <v>0.06</v>
      </c>
      <c r="AG292" s="14">
        <f t="shared" si="391"/>
        <v>275</v>
      </c>
      <c r="AH292" s="5">
        <f t="shared" si="392"/>
        <v>0</v>
      </c>
      <c r="AI292" s="5">
        <f t="shared" si="375"/>
        <v>0</v>
      </c>
      <c r="AJ292" s="5">
        <f t="shared" si="376"/>
        <v>0</v>
      </c>
      <c r="AK292" s="5">
        <f t="shared" si="393"/>
        <v>0</v>
      </c>
      <c r="AL292" s="5">
        <f t="shared" si="394"/>
        <v>0</v>
      </c>
      <c r="AM292" s="199"/>
      <c r="AN292" s="16">
        <f t="shared" si="412"/>
        <v>24</v>
      </c>
      <c r="AO292" s="17">
        <f t="shared" si="409"/>
        <v>11</v>
      </c>
      <c r="AP292" s="18">
        <f t="shared" ca="1" si="402"/>
        <v>52749</v>
      </c>
      <c r="AQ292" s="10">
        <f>IF(Dashboard!$S$20="Float",AQ291+Dashboard!$T$20/12,AQ291)</f>
        <v>4.4999999999999998E-2</v>
      </c>
      <c r="AR292" s="14">
        <f t="shared" si="395"/>
        <v>275</v>
      </c>
      <c r="AS292" s="5">
        <f t="shared" si="396"/>
        <v>1329682.0786844792</v>
      </c>
      <c r="AT292" s="5">
        <f t="shared" si="379"/>
        <v>-18117.07145554385</v>
      </c>
      <c r="AU292" s="5">
        <f t="shared" si="380"/>
        <v>-4986.3077950667966</v>
      </c>
      <c r="AV292" s="5">
        <f t="shared" si="397"/>
        <v>-13130.763660477052</v>
      </c>
      <c r="AW292" s="5">
        <f t="shared" si="398"/>
        <v>1316551.3150240022</v>
      </c>
      <c r="AX292" s="199"/>
    </row>
    <row r="293" spans="1:50">
      <c r="A293" s="73"/>
      <c r="B293" s="572"/>
      <c r="C293" s="16">
        <f t="shared" si="410"/>
        <v>23</v>
      </c>
      <c r="D293" s="17">
        <f t="shared" si="406"/>
        <v>12</v>
      </c>
      <c r="E293" s="18">
        <f t="shared" ca="1" si="399"/>
        <v>52779</v>
      </c>
      <c r="F293" s="10">
        <f>IF(Dashboard!$Q$5="Float",F292+Dashboard!$R$5/12,F292)</f>
        <v>0.04</v>
      </c>
      <c r="G293" s="14">
        <f t="shared" si="381"/>
        <v>276</v>
      </c>
      <c r="H293" s="5">
        <f t="shared" si="382"/>
        <v>1323268.1134232676</v>
      </c>
      <c r="I293" s="5">
        <f t="shared" si="367"/>
        <v>-17903.073579954711</v>
      </c>
      <c r="J293" s="5">
        <f t="shared" si="368"/>
        <v>-4410.8937114108921</v>
      </c>
      <c r="K293" s="5">
        <f t="shared" si="383"/>
        <v>-13492.179868543819</v>
      </c>
      <c r="L293" s="5">
        <f t="shared" si="384"/>
        <v>1309775.9335547239</v>
      </c>
      <c r="M293" s="199"/>
      <c r="N293" s="16">
        <f t="shared" ca="1" si="385"/>
        <v>11</v>
      </c>
      <c r="O293" s="508">
        <f t="shared" ca="1" si="369"/>
        <v>124</v>
      </c>
      <c r="P293" s="16">
        <f t="shared" ca="1" si="370"/>
        <v>11</v>
      </c>
      <c r="Q293" s="17">
        <f t="shared" si="407"/>
        <v>12</v>
      </c>
      <c r="R293" s="18">
        <f t="shared" si="400"/>
        <v>48183</v>
      </c>
      <c r="S293" s="10">
        <f t="shared" si="386"/>
        <v>0.04</v>
      </c>
      <c r="T293" s="14">
        <f t="shared" ca="1" si="387"/>
        <v>89</v>
      </c>
      <c r="U293" s="5">
        <f t="shared" ca="1" si="388"/>
        <v>426467.24924664799</v>
      </c>
      <c r="V293" s="5">
        <f t="shared" ca="1" si="371"/>
        <v>-2387.0764773272995</v>
      </c>
      <c r="W293" s="5">
        <f t="shared" ca="1" si="372"/>
        <v>-1421.5574974888266</v>
      </c>
      <c r="X293" s="5">
        <f t="shared" ca="1" si="389"/>
        <v>-965.51897983847289</v>
      </c>
      <c r="Y293" s="5">
        <f t="shared" ca="1" si="390"/>
        <v>425501.73026680952</v>
      </c>
      <c r="Z293" s="199"/>
      <c r="AA293" s="16">
        <f t="shared" ca="1" si="378"/>
        <v>23</v>
      </c>
      <c r="AB293" s="508">
        <f t="shared" ca="1" si="373"/>
        <v>275</v>
      </c>
      <c r="AC293" s="16">
        <f t="shared" si="411"/>
        <v>23</v>
      </c>
      <c r="AD293" s="17">
        <f t="shared" si="408"/>
        <v>12</v>
      </c>
      <c r="AE293" s="18">
        <f t="shared" ca="1" si="401"/>
        <v>52779</v>
      </c>
      <c r="AF293" s="10">
        <f>IF(Dashboard!$R$24="Float",AF292+Dashboard!$R$24/12,AF292)</f>
        <v>0.06</v>
      </c>
      <c r="AG293" s="14">
        <f t="shared" si="391"/>
        <v>276</v>
      </c>
      <c r="AH293" s="5">
        <f t="shared" si="392"/>
        <v>0</v>
      </c>
      <c r="AI293" s="5">
        <f t="shared" si="375"/>
        <v>0</v>
      </c>
      <c r="AJ293" s="5">
        <f t="shared" si="376"/>
        <v>0</v>
      </c>
      <c r="AK293" s="5">
        <f t="shared" si="393"/>
        <v>0</v>
      </c>
      <c r="AL293" s="5">
        <f t="shared" si="394"/>
        <v>0</v>
      </c>
      <c r="AM293" s="199"/>
      <c r="AN293" s="16">
        <f t="shared" si="412"/>
        <v>24</v>
      </c>
      <c r="AO293" s="17">
        <f t="shared" si="409"/>
        <v>12</v>
      </c>
      <c r="AP293" s="18">
        <f t="shared" ca="1" si="402"/>
        <v>52779</v>
      </c>
      <c r="AQ293" s="10">
        <f>IF(Dashboard!$S$20="Float",AQ292+Dashboard!$T$20/12,AQ292)</f>
        <v>4.4999999999999998E-2</v>
      </c>
      <c r="AR293" s="14">
        <f t="shared" si="395"/>
        <v>276</v>
      </c>
      <c r="AS293" s="5">
        <f t="shared" si="396"/>
        <v>1316551.3150240022</v>
      </c>
      <c r="AT293" s="5">
        <f t="shared" si="379"/>
        <v>-18117.07145554385</v>
      </c>
      <c r="AU293" s="5">
        <f t="shared" si="380"/>
        <v>-4937.0674313400077</v>
      </c>
      <c r="AV293" s="5">
        <f t="shared" si="397"/>
        <v>-13180.004024203841</v>
      </c>
      <c r="AW293" s="5">
        <f t="shared" si="398"/>
        <v>1303371.3109997984</v>
      </c>
      <c r="AX293" s="199"/>
    </row>
    <row r="294" spans="1:50" ht="12.75" customHeight="1">
      <c r="A294" s="73"/>
      <c r="B294" s="570">
        <f>+C294</f>
        <v>24</v>
      </c>
      <c r="C294" s="200">
        <f t="shared" ref="C294" si="413">+C293+1</f>
        <v>24</v>
      </c>
      <c r="D294" s="201">
        <v>1</v>
      </c>
      <c r="E294" s="202">
        <f t="shared" ca="1" si="399"/>
        <v>52810</v>
      </c>
      <c r="F294" s="203">
        <f>IF(Dashboard!$Q$5="Float",F293+Dashboard!$R$5/12,F293)</f>
        <v>0.04</v>
      </c>
      <c r="G294" s="204">
        <f t="shared" si="381"/>
        <v>277</v>
      </c>
      <c r="H294" s="205">
        <f t="shared" si="382"/>
        <v>1309775.9335547239</v>
      </c>
      <c r="I294" s="205">
        <f t="shared" si="367"/>
        <v>-17903.073579954718</v>
      </c>
      <c r="J294" s="205">
        <f t="shared" si="368"/>
        <v>-4365.9197785157457</v>
      </c>
      <c r="K294" s="205">
        <f t="shared" si="383"/>
        <v>-13537.153801438973</v>
      </c>
      <c r="L294" s="205">
        <f t="shared" si="384"/>
        <v>1296238.779753285</v>
      </c>
      <c r="M294" s="199"/>
      <c r="N294" s="200">
        <f t="shared" ca="1" si="385"/>
        <v>11</v>
      </c>
      <c r="O294" s="509">
        <f t="shared" ca="1" si="369"/>
        <v>125</v>
      </c>
      <c r="P294" s="200">
        <f t="shared" ca="1" si="370"/>
        <v>11</v>
      </c>
      <c r="Q294" s="201">
        <v>1</v>
      </c>
      <c r="R294" s="202">
        <f t="shared" si="400"/>
        <v>48214</v>
      </c>
      <c r="S294" s="203">
        <f t="shared" si="386"/>
        <v>0.04</v>
      </c>
      <c r="T294" s="204">
        <f t="shared" ca="1" si="387"/>
        <v>90</v>
      </c>
      <c r="U294" s="205">
        <f t="shared" ca="1" si="388"/>
        <v>425501.73026680952</v>
      </c>
      <c r="V294" s="205">
        <f t="shared" ca="1" si="371"/>
        <v>-2387.076477327299</v>
      </c>
      <c r="W294" s="205">
        <f t="shared" ca="1" si="372"/>
        <v>-1418.339100889365</v>
      </c>
      <c r="X294" s="205">
        <f t="shared" ca="1" si="389"/>
        <v>-968.73737643793402</v>
      </c>
      <c r="Y294" s="205">
        <f t="shared" ca="1" si="390"/>
        <v>424532.99289037159</v>
      </c>
      <c r="Z294" s="199"/>
      <c r="AA294" s="200">
        <f t="shared" ca="1" si="378"/>
        <v>23</v>
      </c>
      <c r="AB294" s="509">
        <f t="shared" ca="1" si="373"/>
        <v>276</v>
      </c>
      <c r="AC294" s="200">
        <f t="shared" ref="AC294" si="414">+AC293+1</f>
        <v>24</v>
      </c>
      <c r="AD294" s="201">
        <v>1</v>
      </c>
      <c r="AE294" s="202">
        <f t="shared" ca="1" si="401"/>
        <v>52810</v>
      </c>
      <c r="AF294" s="203">
        <f>IF(Dashboard!$R$24="Float",AF293+Dashboard!$R$24/12,AF293)</f>
        <v>0.06</v>
      </c>
      <c r="AG294" s="204">
        <f t="shared" si="391"/>
        <v>277</v>
      </c>
      <c r="AH294" s="205">
        <f t="shared" si="392"/>
        <v>0</v>
      </c>
      <c r="AI294" s="205">
        <f t="shared" si="375"/>
        <v>0</v>
      </c>
      <c r="AJ294" s="205">
        <f t="shared" si="376"/>
        <v>0</v>
      </c>
      <c r="AK294" s="205">
        <f t="shared" si="393"/>
        <v>0</v>
      </c>
      <c r="AL294" s="205">
        <f t="shared" si="394"/>
        <v>0</v>
      </c>
      <c r="AM294" s="199"/>
      <c r="AN294" s="200">
        <f t="shared" ref="AN294" si="415">+AN293+1</f>
        <v>25</v>
      </c>
      <c r="AO294" s="201">
        <v>1</v>
      </c>
      <c r="AP294" s="202">
        <f t="shared" ca="1" si="402"/>
        <v>52810</v>
      </c>
      <c r="AQ294" s="203">
        <f>IF(Dashboard!$S$20="Float",AQ293+Dashboard!$T$20/12,AQ293)</f>
        <v>4.4999999999999998E-2</v>
      </c>
      <c r="AR294" s="204">
        <f t="shared" si="395"/>
        <v>277</v>
      </c>
      <c r="AS294" s="205">
        <f t="shared" si="396"/>
        <v>1303371.3109997984</v>
      </c>
      <c r="AT294" s="205">
        <f t="shared" si="379"/>
        <v>-18117.07145554385</v>
      </c>
      <c r="AU294" s="205">
        <f t="shared" si="380"/>
        <v>-4887.6424162492431</v>
      </c>
      <c r="AV294" s="205">
        <f t="shared" si="397"/>
        <v>-13229.429039294606</v>
      </c>
      <c r="AW294" s="205">
        <f t="shared" si="398"/>
        <v>1290141.8819605038</v>
      </c>
      <c r="AX294" s="199"/>
    </row>
    <row r="295" spans="1:50">
      <c r="A295" s="73"/>
      <c r="B295" s="570"/>
      <c r="C295" s="200">
        <f>+C294</f>
        <v>24</v>
      </c>
      <c r="D295" s="201">
        <f>+D294+1</f>
        <v>2</v>
      </c>
      <c r="E295" s="202">
        <f t="shared" ca="1" si="399"/>
        <v>52841</v>
      </c>
      <c r="F295" s="203">
        <f>IF(Dashboard!$Q$5="Float",F294+Dashboard!$R$5/12,F294)</f>
        <v>0.04</v>
      </c>
      <c r="G295" s="204">
        <f t="shared" si="381"/>
        <v>278</v>
      </c>
      <c r="H295" s="205">
        <f t="shared" si="382"/>
        <v>1296238.779753285</v>
      </c>
      <c r="I295" s="205">
        <f t="shared" si="367"/>
        <v>-17903.073579954715</v>
      </c>
      <c r="J295" s="205">
        <f t="shared" si="368"/>
        <v>-4320.7959325109505</v>
      </c>
      <c r="K295" s="205">
        <f t="shared" si="383"/>
        <v>-13582.277647443763</v>
      </c>
      <c r="L295" s="205">
        <f t="shared" si="384"/>
        <v>1282656.5021058412</v>
      </c>
      <c r="M295" s="199"/>
      <c r="N295" s="200">
        <f t="shared" ca="1" si="385"/>
        <v>11</v>
      </c>
      <c r="O295" s="509">
        <f t="shared" ca="1" si="369"/>
        <v>126</v>
      </c>
      <c r="P295" s="200">
        <f t="shared" ca="1" si="370"/>
        <v>11</v>
      </c>
      <c r="Q295" s="201">
        <f>+Q294+1</f>
        <v>2</v>
      </c>
      <c r="R295" s="202">
        <f t="shared" si="400"/>
        <v>48245</v>
      </c>
      <c r="S295" s="203">
        <f t="shared" si="386"/>
        <v>0.04</v>
      </c>
      <c r="T295" s="204">
        <f t="shared" ca="1" si="387"/>
        <v>91</v>
      </c>
      <c r="U295" s="205">
        <f t="shared" ca="1" si="388"/>
        <v>424532.99289037159</v>
      </c>
      <c r="V295" s="205">
        <f t="shared" ca="1" si="371"/>
        <v>-2387.076477327299</v>
      </c>
      <c r="W295" s="205">
        <f t="shared" ca="1" si="372"/>
        <v>-1415.1099763012387</v>
      </c>
      <c r="X295" s="205">
        <f t="shared" ca="1" si="389"/>
        <v>-971.96650102606031</v>
      </c>
      <c r="Y295" s="205">
        <f t="shared" ca="1" si="390"/>
        <v>423561.02638934553</v>
      </c>
      <c r="Z295" s="199"/>
      <c r="AA295" s="200">
        <f t="shared" ca="1" si="378"/>
        <v>24</v>
      </c>
      <c r="AB295" s="509">
        <f t="shared" ca="1" si="373"/>
        <v>277</v>
      </c>
      <c r="AC295" s="200">
        <f>+AC294</f>
        <v>24</v>
      </c>
      <c r="AD295" s="201">
        <f>+AD294+1</f>
        <v>2</v>
      </c>
      <c r="AE295" s="202">
        <f t="shared" ca="1" si="401"/>
        <v>52841</v>
      </c>
      <c r="AF295" s="203">
        <f>IF(Dashboard!$R$24="Float",AF294+Dashboard!$R$24/12,AF294)</f>
        <v>0.06</v>
      </c>
      <c r="AG295" s="204">
        <f t="shared" si="391"/>
        <v>278</v>
      </c>
      <c r="AH295" s="205">
        <f t="shared" si="392"/>
        <v>0</v>
      </c>
      <c r="AI295" s="205">
        <f t="shared" si="375"/>
        <v>0</v>
      </c>
      <c r="AJ295" s="205">
        <f t="shared" si="376"/>
        <v>0</v>
      </c>
      <c r="AK295" s="205">
        <f t="shared" si="393"/>
        <v>0</v>
      </c>
      <c r="AL295" s="205">
        <f t="shared" si="394"/>
        <v>0</v>
      </c>
      <c r="AM295" s="199"/>
      <c r="AN295" s="200">
        <f>+AN294</f>
        <v>25</v>
      </c>
      <c r="AO295" s="201">
        <f>+AO294+1</f>
        <v>2</v>
      </c>
      <c r="AP295" s="202">
        <f t="shared" ca="1" si="402"/>
        <v>52841</v>
      </c>
      <c r="AQ295" s="203">
        <f>IF(Dashboard!$S$20="Float",AQ294+Dashboard!$T$20/12,AQ294)</f>
        <v>4.4999999999999998E-2</v>
      </c>
      <c r="AR295" s="204">
        <f t="shared" si="395"/>
        <v>278</v>
      </c>
      <c r="AS295" s="205">
        <f t="shared" si="396"/>
        <v>1290141.8819605038</v>
      </c>
      <c r="AT295" s="205">
        <f t="shared" si="379"/>
        <v>-18117.071455543854</v>
      </c>
      <c r="AU295" s="205">
        <f t="shared" si="380"/>
        <v>-4838.0320573518884</v>
      </c>
      <c r="AV295" s="205">
        <f t="shared" si="397"/>
        <v>-13279.039398191966</v>
      </c>
      <c r="AW295" s="205">
        <f t="shared" si="398"/>
        <v>1276862.8425623118</v>
      </c>
      <c r="AX295" s="199"/>
    </row>
    <row r="296" spans="1:50">
      <c r="A296" s="73"/>
      <c r="B296" s="570"/>
      <c r="C296" s="200">
        <f>+C295</f>
        <v>24</v>
      </c>
      <c r="D296" s="201">
        <f>+D295+1</f>
        <v>3</v>
      </c>
      <c r="E296" s="202">
        <f t="shared" ca="1" si="399"/>
        <v>52871</v>
      </c>
      <c r="F296" s="203">
        <f>IF(Dashboard!$Q$5="Float",F295+Dashboard!$R$5/12,F295)</f>
        <v>0.04</v>
      </c>
      <c r="G296" s="204">
        <f t="shared" si="381"/>
        <v>279</v>
      </c>
      <c r="H296" s="205">
        <f t="shared" si="382"/>
        <v>1282656.5021058412</v>
      </c>
      <c r="I296" s="205">
        <f t="shared" si="367"/>
        <v>-17903.073579954718</v>
      </c>
      <c r="J296" s="205">
        <f t="shared" si="368"/>
        <v>-4275.5216736861375</v>
      </c>
      <c r="K296" s="205">
        <f t="shared" si="383"/>
        <v>-13627.551906268582</v>
      </c>
      <c r="L296" s="205">
        <f t="shared" si="384"/>
        <v>1269028.9501995726</v>
      </c>
      <c r="M296" s="199"/>
      <c r="N296" s="200">
        <f t="shared" ca="1" si="385"/>
        <v>11</v>
      </c>
      <c r="O296" s="509">
        <f t="shared" ca="1" si="369"/>
        <v>127</v>
      </c>
      <c r="P296" s="200">
        <f t="shared" ca="1" si="370"/>
        <v>11</v>
      </c>
      <c r="Q296" s="201">
        <f>+Q295+1</f>
        <v>3</v>
      </c>
      <c r="R296" s="202">
        <f t="shared" si="400"/>
        <v>48274</v>
      </c>
      <c r="S296" s="203">
        <f t="shared" si="386"/>
        <v>0.04</v>
      </c>
      <c r="T296" s="204">
        <f t="shared" ca="1" si="387"/>
        <v>92</v>
      </c>
      <c r="U296" s="205">
        <f t="shared" ca="1" si="388"/>
        <v>423561.02638934553</v>
      </c>
      <c r="V296" s="205">
        <f t="shared" ca="1" si="371"/>
        <v>-2387.0764773272995</v>
      </c>
      <c r="W296" s="205">
        <f t="shared" ca="1" si="372"/>
        <v>-1411.870087964485</v>
      </c>
      <c r="X296" s="205">
        <f t="shared" ca="1" si="389"/>
        <v>-975.20638936281443</v>
      </c>
      <c r="Y296" s="205">
        <f t="shared" ca="1" si="390"/>
        <v>422585.81999998272</v>
      </c>
      <c r="Z296" s="199"/>
      <c r="AA296" s="200">
        <f t="shared" ca="1" si="378"/>
        <v>24</v>
      </c>
      <c r="AB296" s="509">
        <f t="shared" ca="1" si="373"/>
        <v>278</v>
      </c>
      <c r="AC296" s="200">
        <f>+AC295</f>
        <v>24</v>
      </c>
      <c r="AD296" s="201">
        <f>+AD295+1</f>
        <v>3</v>
      </c>
      <c r="AE296" s="202">
        <f t="shared" ca="1" si="401"/>
        <v>52871</v>
      </c>
      <c r="AF296" s="203">
        <f>IF(Dashboard!$R$24="Float",AF295+Dashboard!$R$24/12,AF295)</f>
        <v>0.06</v>
      </c>
      <c r="AG296" s="204">
        <f t="shared" si="391"/>
        <v>279</v>
      </c>
      <c r="AH296" s="205">
        <f t="shared" si="392"/>
        <v>0</v>
      </c>
      <c r="AI296" s="205">
        <f t="shared" si="375"/>
        <v>0</v>
      </c>
      <c r="AJ296" s="205">
        <f t="shared" si="376"/>
        <v>0</v>
      </c>
      <c r="AK296" s="205">
        <f t="shared" si="393"/>
        <v>0</v>
      </c>
      <c r="AL296" s="205">
        <f t="shared" si="394"/>
        <v>0</v>
      </c>
      <c r="AM296" s="199"/>
      <c r="AN296" s="200">
        <f>+AN295</f>
        <v>25</v>
      </c>
      <c r="AO296" s="201">
        <f>+AO295+1</f>
        <v>3</v>
      </c>
      <c r="AP296" s="202">
        <f t="shared" ca="1" si="402"/>
        <v>52871</v>
      </c>
      <c r="AQ296" s="203">
        <f>IF(Dashboard!$S$20="Float",AQ295+Dashboard!$T$20/12,AQ295)</f>
        <v>4.4999999999999998E-2</v>
      </c>
      <c r="AR296" s="204">
        <f t="shared" si="395"/>
        <v>279</v>
      </c>
      <c r="AS296" s="205">
        <f t="shared" si="396"/>
        <v>1276862.8425623118</v>
      </c>
      <c r="AT296" s="205">
        <f t="shared" si="379"/>
        <v>-18117.07145554385</v>
      </c>
      <c r="AU296" s="205">
        <f t="shared" si="380"/>
        <v>-4788.2356596086693</v>
      </c>
      <c r="AV296" s="205">
        <f t="shared" si="397"/>
        <v>-13328.835795935182</v>
      </c>
      <c r="AW296" s="205">
        <f t="shared" si="398"/>
        <v>1263534.0067663766</v>
      </c>
      <c r="AX296" s="199"/>
    </row>
    <row r="297" spans="1:50">
      <c r="A297" s="73"/>
      <c r="B297" s="570"/>
      <c r="C297" s="200">
        <f>+C296</f>
        <v>24</v>
      </c>
      <c r="D297" s="201">
        <f t="shared" ref="D297:D305" si="416">+D296+1</f>
        <v>4</v>
      </c>
      <c r="E297" s="202">
        <f t="shared" ca="1" si="399"/>
        <v>52902</v>
      </c>
      <c r="F297" s="203">
        <f>IF(Dashboard!$Q$5="Float",F296+Dashboard!$R$5/12,F296)</f>
        <v>0.04</v>
      </c>
      <c r="G297" s="204">
        <f t="shared" si="381"/>
        <v>280</v>
      </c>
      <c r="H297" s="205">
        <f t="shared" si="382"/>
        <v>1269028.9501995726</v>
      </c>
      <c r="I297" s="205">
        <f t="shared" si="367"/>
        <v>-17903.073579954715</v>
      </c>
      <c r="J297" s="205">
        <f t="shared" si="368"/>
        <v>-4230.0965006652423</v>
      </c>
      <c r="K297" s="205">
        <f t="shared" si="383"/>
        <v>-13672.977079289472</v>
      </c>
      <c r="L297" s="205">
        <f t="shared" si="384"/>
        <v>1255355.9731202831</v>
      </c>
      <c r="M297" s="199"/>
      <c r="N297" s="200">
        <f t="shared" ca="1" si="385"/>
        <v>11</v>
      </c>
      <c r="O297" s="509">
        <f t="shared" ca="1" si="369"/>
        <v>128</v>
      </c>
      <c r="P297" s="200">
        <f t="shared" ca="1" si="370"/>
        <v>11</v>
      </c>
      <c r="Q297" s="201">
        <f t="shared" ref="Q297:Q305" si="417">+Q296+1</f>
        <v>4</v>
      </c>
      <c r="R297" s="202">
        <f t="shared" si="400"/>
        <v>48305</v>
      </c>
      <c r="S297" s="203">
        <f t="shared" si="386"/>
        <v>0.04</v>
      </c>
      <c r="T297" s="204">
        <f t="shared" ca="1" si="387"/>
        <v>93</v>
      </c>
      <c r="U297" s="205">
        <f t="shared" ca="1" si="388"/>
        <v>422585.81999998272</v>
      </c>
      <c r="V297" s="205">
        <f t="shared" ca="1" si="371"/>
        <v>-2387.076477327299</v>
      </c>
      <c r="W297" s="205">
        <f t="shared" ca="1" si="372"/>
        <v>-1408.6193999999423</v>
      </c>
      <c r="X297" s="205">
        <f t="shared" ca="1" si="389"/>
        <v>-978.45707732735673</v>
      </c>
      <c r="Y297" s="205">
        <f t="shared" ca="1" si="390"/>
        <v>421607.36292265536</v>
      </c>
      <c r="Z297" s="199"/>
      <c r="AA297" s="200">
        <f t="shared" ca="1" si="378"/>
        <v>24</v>
      </c>
      <c r="AB297" s="509">
        <f t="shared" ca="1" si="373"/>
        <v>279</v>
      </c>
      <c r="AC297" s="200">
        <f>+AC296</f>
        <v>24</v>
      </c>
      <c r="AD297" s="201">
        <f t="shared" ref="AD297:AD305" si="418">+AD296+1</f>
        <v>4</v>
      </c>
      <c r="AE297" s="202">
        <f t="shared" ca="1" si="401"/>
        <v>52902</v>
      </c>
      <c r="AF297" s="203">
        <f>IF(Dashboard!$R$24="Float",AF296+Dashboard!$R$24/12,AF296)</f>
        <v>0.06</v>
      </c>
      <c r="AG297" s="204">
        <f t="shared" si="391"/>
        <v>280</v>
      </c>
      <c r="AH297" s="205">
        <f t="shared" si="392"/>
        <v>0</v>
      </c>
      <c r="AI297" s="205">
        <f t="shared" si="375"/>
        <v>0</v>
      </c>
      <c r="AJ297" s="205">
        <f t="shared" si="376"/>
        <v>0</v>
      </c>
      <c r="AK297" s="205">
        <f t="shared" si="393"/>
        <v>0</v>
      </c>
      <c r="AL297" s="205">
        <f t="shared" si="394"/>
        <v>0</v>
      </c>
      <c r="AM297" s="199"/>
      <c r="AN297" s="200">
        <f>+AN296</f>
        <v>25</v>
      </c>
      <c r="AO297" s="201">
        <f t="shared" ref="AO297:AO305" si="419">+AO296+1</f>
        <v>4</v>
      </c>
      <c r="AP297" s="202">
        <f t="shared" ca="1" si="402"/>
        <v>52902</v>
      </c>
      <c r="AQ297" s="203">
        <f>IF(Dashboard!$S$20="Float",AQ296+Dashboard!$T$20/12,AQ296)</f>
        <v>4.4999999999999998E-2</v>
      </c>
      <c r="AR297" s="204">
        <f t="shared" si="395"/>
        <v>280</v>
      </c>
      <c r="AS297" s="205">
        <f t="shared" si="396"/>
        <v>1263534.0067663766</v>
      </c>
      <c r="AT297" s="205">
        <f t="shared" si="379"/>
        <v>-18117.07145554385</v>
      </c>
      <c r="AU297" s="205">
        <f t="shared" si="380"/>
        <v>-4738.2525253739122</v>
      </c>
      <c r="AV297" s="205">
        <f t="shared" si="397"/>
        <v>-13378.818930169939</v>
      </c>
      <c r="AW297" s="205">
        <f t="shared" si="398"/>
        <v>1250155.1878362065</v>
      </c>
      <c r="AX297" s="199"/>
    </row>
    <row r="298" spans="1:50">
      <c r="A298" s="73"/>
      <c r="B298" s="570"/>
      <c r="C298" s="200">
        <f t="shared" ref="C298:C305" si="420">+C297</f>
        <v>24</v>
      </c>
      <c r="D298" s="201">
        <f t="shared" si="416"/>
        <v>5</v>
      </c>
      <c r="E298" s="202">
        <f t="shared" ca="1" si="399"/>
        <v>52932</v>
      </c>
      <c r="F298" s="203">
        <f>IF(Dashboard!$Q$5="Float",F297+Dashboard!$R$5/12,F297)</f>
        <v>0.04</v>
      </c>
      <c r="G298" s="204">
        <f t="shared" si="381"/>
        <v>281</v>
      </c>
      <c r="H298" s="205">
        <f t="shared" si="382"/>
        <v>1255355.9731202831</v>
      </c>
      <c r="I298" s="205">
        <f t="shared" si="367"/>
        <v>-17903.073579954718</v>
      </c>
      <c r="J298" s="205">
        <f t="shared" si="368"/>
        <v>-4184.5199104009434</v>
      </c>
      <c r="K298" s="205">
        <f t="shared" si="383"/>
        <v>-13718.553669553774</v>
      </c>
      <c r="L298" s="205">
        <f t="shared" si="384"/>
        <v>1241637.4194507294</v>
      </c>
      <c r="M298" s="199"/>
      <c r="N298" s="200">
        <f t="shared" ca="1" si="385"/>
        <v>11</v>
      </c>
      <c r="O298" s="509">
        <f t="shared" ca="1" si="369"/>
        <v>129</v>
      </c>
      <c r="P298" s="200">
        <f t="shared" ca="1" si="370"/>
        <v>11</v>
      </c>
      <c r="Q298" s="201">
        <f t="shared" si="417"/>
        <v>5</v>
      </c>
      <c r="R298" s="202">
        <f t="shared" si="400"/>
        <v>48335</v>
      </c>
      <c r="S298" s="203">
        <f t="shared" si="386"/>
        <v>0.04</v>
      </c>
      <c r="T298" s="204">
        <f t="shared" ca="1" si="387"/>
        <v>94</v>
      </c>
      <c r="U298" s="205">
        <f t="shared" ca="1" si="388"/>
        <v>421607.36292265536</v>
      </c>
      <c r="V298" s="205">
        <f t="shared" ca="1" si="371"/>
        <v>-2387.0764773272999</v>
      </c>
      <c r="W298" s="205">
        <f t="shared" ca="1" si="372"/>
        <v>-1405.3578764088513</v>
      </c>
      <c r="X298" s="205">
        <f t="shared" ca="1" si="389"/>
        <v>-981.7186009184486</v>
      </c>
      <c r="Y298" s="205">
        <f t="shared" ca="1" si="390"/>
        <v>420625.64432173694</v>
      </c>
      <c r="Z298" s="199"/>
      <c r="AA298" s="200">
        <f t="shared" ca="1" si="378"/>
        <v>24</v>
      </c>
      <c r="AB298" s="509">
        <f t="shared" ca="1" si="373"/>
        <v>280</v>
      </c>
      <c r="AC298" s="200">
        <f t="shared" ref="AC298:AC305" si="421">+AC297</f>
        <v>24</v>
      </c>
      <c r="AD298" s="201">
        <f t="shared" si="418"/>
        <v>5</v>
      </c>
      <c r="AE298" s="202">
        <f t="shared" ca="1" si="401"/>
        <v>52932</v>
      </c>
      <c r="AF298" s="203">
        <f>IF(Dashboard!$R$24="Float",AF297+Dashboard!$R$24/12,AF297)</f>
        <v>0.06</v>
      </c>
      <c r="AG298" s="204">
        <f t="shared" si="391"/>
        <v>281</v>
      </c>
      <c r="AH298" s="205">
        <f t="shared" si="392"/>
        <v>0</v>
      </c>
      <c r="AI298" s="205">
        <f t="shared" si="375"/>
        <v>0</v>
      </c>
      <c r="AJ298" s="205">
        <f t="shared" si="376"/>
        <v>0</v>
      </c>
      <c r="AK298" s="205">
        <f t="shared" si="393"/>
        <v>0</v>
      </c>
      <c r="AL298" s="205">
        <f t="shared" si="394"/>
        <v>0</v>
      </c>
      <c r="AM298" s="199"/>
      <c r="AN298" s="200">
        <f t="shared" ref="AN298:AN305" si="422">+AN297</f>
        <v>25</v>
      </c>
      <c r="AO298" s="201">
        <f t="shared" si="419"/>
        <v>5</v>
      </c>
      <c r="AP298" s="202">
        <f t="shared" ca="1" si="402"/>
        <v>52932</v>
      </c>
      <c r="AQ298" s="203">
        <f>IF(Dashboard!$S$20="Float",AQ297+Dashboard!$T$20/12,AQ297)</f>
        <v>4.4999999999999998E-2</v>
      </c>
      <c r="AR298" s="204">
        <f t="shared" si="395"/>
        <v>281</v>
      </c>
      <c r="AS298" s="205">
        <f t="shared" si="396"/>
        <v>1250155.1878362065</v>
      </c>
      <c r="AT298" s="205">
        <f t="shared" si="379"/>
        <v>-18117.07145554385</v>
      </c>
      <c r="AU298" s="205">
        <f t="shared" si="380"/>
        <v>-4688.0819543857742</v>
      </c>
      <c r="AV298" s="205">
        <f t="shared" si="397"/>
        <v>-13428.989501158076</v>
      </c>
      <c r="AW298" s="205">
        <f t="shared" si="398"/>
        <v>1236726.1983350485</v>
      </c>
      <c r="AX298" s="199"/>
    </row>
    <row r="299" spans="1:50">
      <c r="A299" s="73"/>
      <c r="B299" s="570"/>
      <c r="C299" s="200">
        <f t="shared" si="420"/>
        <v>24</v>
      </c>
      <c r="D299" s="201">
        <f t="shared" si="416"/>
        <v>6</v>
      </c>
      <c r="E299" s="202">
        <f t="shared" ca="1" si="399"/>
        <v>52963</v>
      </c>
      <c r="F299" s="203">
        <f>IF(Dashboard!$Q$5="Float",F298+Dashboard!$R$5/12,F298)</f>
        <v>0.04</v>
      </c>
      <c r="G299" s="204">
        <f t="shared" si="381"/>
        <v>282</v>
      </c>
      <c r="H299" s="205">
        <f t="shared" si="382"/>
        <v>1241637.4194507294</v>
      </c>
      <c r="I299" s="205">
        <f t="shared" si="367"/>
        <v>-17903.073579954715</v>
      </c>
      <c r="J299" s="205">
        <f t="shared" si="368"/>
        <v>-4138.7913981690981</v>
      </c>
      <c r="K299" s="205">
        <f t="shared" si="383"/>
        <v>-13764.282181785617</v>
      </c>
      <c r="L299" s="205">
        <f t="shared" si="384"/>
        <v>1227873.1372689437</v>
      </c>
      <c r="M299" s="199"/>
      <c r="N299" s="200">
        <f t="shared" ca="1" si="385"/>
        <v>11</v>
      </c>
      <c r="O299" s="509">
        <f t="shared" ca="1" si="369"/>
        <v>130</v>
      </c>
      <c r="P299" s="200">
        <f t="shared" ca="1" si="370"/>
        <v>11</v>
      </c>
      <c r="Q299" s="201">
        <f t="shared" si="417"/>
        <v>6</v>
      </c>
      <c r="R299" s="202">
        <f t="shared" si="400"/>
        <v>48366</v>
      </c>
      <c r="S299" s="203">
        <f t="shared" si="386"/>
        <v>0.04</v>
      </c>
      <c r="T299" s="204">
        <f t="shared" ca="1" si="387"/>
        <v>95</v>
      </c>
      <c r="U299" s="205">
        <f t="shared" ca="1" si="388"/>
        <v>420625.64432173694</v>
      </c>
      <c r="V299" s="205">
        <f t="shared" ca="1" si="371"/>
        <v>-2387.0764773272999</v>
      </c>
      <c r="W299" s="205">
        <f t="shared" ca="1" si="372"/>
        <v>-1402.0854810724566</v>
      </c>
      <c r="X299" s="205">
        <f t="shared" ca="1" si="389"/>
        <v>-984.99099625484337</v>
      </c>
      <c r="Y299" s="205">
        <f t="shared" ca="1" si="390"/>
        <v>419640.6533254821</v>
      </c>
      <c r="Z299" s="199"/>
      <c r="AA299" s="200">
        <f t="shared" ca="1" si="378"/>
        <v>24</v>
      </c>
      <c r="AB299" s="509">
        <f t="shared" ca="1" si="373"/>
        <v>281</v>
      </c>
      <c r="AC299" s="200">
        <f t="shared" si="421"/>
        <v>24</v>
      </c>
      <c r="AD299" s="201">
        <f t="shared" si="418"/>
        <v>6</v>
      </c>
      <c r="AE299" s="202">
        <f t="shared" ca="1" si="401"/>
        <v>52963</v>
      </c>
      <c r="AF299" s="203">
        <f>IF(Dashboard!$R$24="Float",AF298+Dashboard!$R$24/12,AF298)</f>
        <v>0.06</v>
      </c>
      <c r="AG299" s="204">
        <f t="shared" si="391"/>
        <v>282</v>
      </c>
      <c r="AH299" s="205">
        <f t="shared" si="392"/>
        <v>0</v>
      </c>
      <c r="AI299" s="205">
        <f t="shared" si="375"/>
        <v>0</v>
      </c>
      <c r="AJ299" s="205">
        <f t="shared" si="376"/>
        <v>0</v>
      </c>
      <c r="AK299" s="205">
        <f t="shared" si="393"/>
        <v>0</v>
      </c>
      <c r="AL299" s="205">
        <f t="shared" si="394"/>
        <v>0</v>
      </c>
      <c r="AM299" s="199"/>
      <c r="AN299" s="200">
        <f t="shared" si="422"/>
        <v>25</v>
      </c>
      <c r="AO299" s="201">
        <f t="shared" si="419"/>
        <v>6</v>
      </c>
      <c r="AP299" s="202">
        <f t="shared" ca="1" si="402"/>
        <v>52963</v>
      </c>
      <c r="AQ299" s="203">
        <f>IF(Dashboard!$S$20="Float",AQ298+Dashboard!$T$20/12,AQ298)</f>
        <v>4.4999999999999998E-2</v>
      </c>
      <c r="AR299" s="204">
        <f t="shared" si="395"/>
        <v>282</v>
      </c>
      <c r="AS299" s="205">
        <f t="shared" si="396"/>
        <v>1236726.1983350485</v>
      </c>
      <c r="AT299" s="205">
        <f t="shared" si="379"/>
        <v>-18117.07145554385</v>
      </c>
      <c r="AU299" s="205">
        <f t="shared" si="380"/>
        <v>-4637.7232437564317</v>
      </c>
      <c r="AV299" s="205">
        <f t="shared" si="397"/>
        <v>-13479.348211787419</v>
      </c>
      <c r="AW299" s="205">
        <f t="shared" si="398"/>
        <v>1223246.8501232611</v>
      </c>
      <c r="AX299" s="199"/>
    </row>
    <row r="300" spans="1:50">
      <c r="A300" s="73"/>
      <c r="B300" s="570"/>
      <c r="C300" s="200">
        <f t="shared" si="420"/>
        <v>24</v>
      </c>
      <c r="D300" s="201">
        <f t="shared" si="416"/>
        <v>7</v>
      </c>
      <c r="E300" s="202">
        <f t="shared" ca="1" si="399"/>
        <v>52994</v>
      </c>
      <c r="F300" s="203">
        <f>IF(Dashboard!$Q$5="Float",F299+Dashboard!$R$5/12,F299)</f>
        <v>0.04</v>
      </c>
      <c r="G300" s="204">
        <f t="shared" si="381"/>
        <v>283</v>
      </c>
      <c r="H300" s="205">
        <f t="shared" si="382"/>
        <v>1227873.1372689437</v>
      </c>
      <c r="I300" s="205">
        <f t="shared" si="367"/>
        <v>-17903.073579954722</v>
      </c>
      <c r="J300" s="205">
        <f t="shared" si="368"/>
        <v>-4092.9104575631459</v>
      </c>
      <c r="K300" s="205">
        <f t="shared" si="383"/>
        <v>-13810.163122391576</v>
      </c>
      <c r="L300" s="205">
        <f t="shared" si="384"/>
        <v>1214062.9741465522</v>
      </c>
      <c r="M300" s="199"/>
      <c r="N300" s="200">
        <f t="shared" ca="1" si="385"/>
        <v>11</v>
      </c>
      <c r="O300" s="509">
        <f t="shared" ca="1" si="369"/>
        <v>131</v>
      </c>
      <c r="P300" s="200">
        <f t="shared" ca="1" si="370"/>
        <v>11</v>
      </c>
      <c r="Q300" s="201">
        <f t="shared" si="417"/>
        <v>7</v>
      </c>
      <c r="R300" s="202">
        <f t="shared" si="400"/>
        <v>48396</v>
      </c>
      <c r="S300" s="203">
        <f t="shared" si="386"/>
        <v>0.04</v>
      </c>
      <c r="T300" s="204">
        <f t="shared" ca="1" si="387"/>
        <v>96</v>
      </c>
      <c r="U300" s="205">
        <f t="shared" ca="1" si="388"/>
        <v>419640.6533254821</v>
      </c>
      <c r="V300" s="205">
        <f t="shared" ca="1" si="371"/>
        <v>-2387.0764773272999</v>
      </c>
      <c r="W300" s="205">
        <f t="shared" ca="1" si="372"/>
        <v>-1398.8021777516069</v>
      </c>
      <c r="X300" s="205">
        <f t="shared" ca="1" si="389"/>
        <v>-988.27429957569302</v>
      </c>
      <c r="Y300" s="205">
        <f t="shared" ca="1" si="390"/>
        <v>418652.37902590638</v>
      </c>
      <c r="Z300" s="199"/>
      <c r="AA300" s="200">
        <f t="shared" ca="1" si="378"/>
        <v>24</v>
      </c>
      <c r="AB300" s="509">
        <f t="shared" ca="1" si="373"/>
        <v>282</v>
      </c>
      <c r="AC300" s="200">
        <f t="shared" si="421"/>
        <v>24</v>
      </c>
      <c r="AD300" s="201">
        <f t="shared" si="418"/>
        <v>7</v>
      </c>
      <c r="AE300" s="202">
        <f t="shared" ca="1" si="401"/>
        <v>52994</v>
      </c>
      <c r="AF300" s="203">
        <f>IF(Dashboard!$R$24="Float",AF299+Dashboard!$R$24/12,AF299)</f>
        <v>0.06</v>
      </c>
      <c r="AG300" s="204">
        <f t="shared" si="391"/>
        <v>283</v>
      </c>
      <c r="AH300" s="205">
        <f t="shared" si="392"/>
        <v>0</v>
      </c>
      <c r="AI300" s="205">
        <f t="shared" si="375"/>
        <v>0</v>
      </c>
      <c r="AJ300" s="205">
        <f t="shared" si="376"/>
        <v>0</v>
      </c>
      <c r="AK300" s="205">
        <f t="shared" si="393"/>
        <v>0</v>
      </c>
      <c r="AL300" s="205">
        <f t="shared" si="394"/>
        <v>0</v>
      </c>
      <c r="AM300" s="199"/>
      <c r="AN300" s="200">
        <f t="shared" si="422"/>
        <v>25</v>
      </c>
      <c r="AO300" s="201">
        <f t="shared" si="419"/>
        <v>7</v>
      </c>
      <c r="AP300" s="202">
        <f t="shared" ca="1" si="402"/>
        <v>52994</v>
      </c>
      <c r="AQ300" s="203">
        <f>IF(Dashboard!$S$20="Float",AQ299+Dashboard!$T$20/12,AQ299)</f>
        <v>4.4999999999999998E-2</v>
      </c>
      <c r="AR300" s="204">
        <f t="shared" si="395"/>
        <v>283</v>
      </c>
      <c r="AS300" s="205">
        <f t="shared" si="396"/>
        <v>1223246.8501232611</v>
      </c>
      <c r="AT300" s="205">
        <f t="shared" si="379"/>
        <v>-18117.07145554385</v>
      </c>
      <c r="AU300" s="205">
        <f t="shared" si="380"/>
        <v>-4587.1756879622289</v>
      </c>
      <c r="AV300" s="205">
        <f t="shared" si="397"/>
        <v>-13529.89576758162</v>
      </c>
      <c r="AW300" s="205">
        <f t="shared" si="398"/>
        <v>1209716.9543556795</v>
      </c>
      <c r="AX300" s="199"/>
    </row>
    <row r="301" spans="1:50">
      <c r="A301" s="73"/>
      <c r="B301" s="570"/>
      <c r="C301" s="200">
        <f t="shared" si="420"/>
        <v>24</v>
      </c>
      <c r="D301" s="201">
        <f t="shared" si="416"/>
        <v>8</v>
      </c>
      <c r="E301" s="202">
        <f t="shared" ca="1" si="399"/>
        <v>53022</v>
      </c>
      <c r="F301" s="203">
        <f>IF(Dashboard!$Q$5="Float",F300+Dashboard!$R$5/12,F300)</f>
        <v>0.04</v>
      </c>
      <c r="G301" s="204">
        <f t="shared" si="381"/>
        <v>284</v>
      </c>
      <c r="H301" s="205">
        <f t="shared" si="382"/>
        <v>1214062.9741465522</v>
      </c>
      <c r="I301" s="205">
        <f t="shared" si="367"/>
        <v>-17903.073579954718</v>
      </c>
      <c r="J301" s="205">
        <f t="shared" si="368"/>
        <v>-4046.8765804885074</v>
      </c>
      <c r="K301" s="205">
        <f t="shared" si="383"/>
        <v>-13856.19699946621</v>
      </c>
      <c r="L301" s="205">
        <f t="shared" si="384"/>
        <v>1200206.7771470859</v>
      </c>
      <c r="M301" s="199"/>
      <c r="N301" s="200">
        <f t="shared" ca="1" si="385"/>
        <v>11</v>
      </c>
      <c r="O301" s="509">
        <f t="shared" ca="1" si="369"/>
        <v>132</v>
      </c>
      <c r="P301" s="200">
        <f t="shared" ca="1" si="370"/>
        <v>12</v>
      </c>
      <c r="Q301" s="201">
        <f t="shared" si="417"/>
        <v>8</v>
      </c>
      <c r="R301" s="202">
        <f t="shared" si="400"/>
        <v>48427</v>
      </c>
      <c r="S301" s="203">
        <f t="shared" si="386"/>
        <v>0.04</v>
      </c>
      <c r="T301" s="204">
        <f t="shared" ca="1" si="387"/>
        <v>97</v>
      </c>
      <c r="U301" s="205">
        <f t="shared" ca="1" si="388"/>
        <v>418652.37902590638</v>
      </c>
      <c r="V301" s="205">
        <f t="shared" ca="1" si="371"/>
        <v>-2387.0764773272999</v>
      </c>
      <c r="W301" s="205">
        <f t="shared" ca="1" si="372"/>
        <v>-1395.5079300863547</v>
      </c>
      <c r="X301" s="205">
        <f t="shared" ca="1" si="389"/>
        <v>-991.56854724094524</v>
      </c>
      <c r="Y301" s="205">
        <f t="shared" ca="1" si="390"/>
        <v>417660.81047866546</v>
      </c>
      <c r="Z301" s="199"/>
      <c r="AA301" s="200">
        <f t="shared" ca="1" si="378"/>
        <v>24</v>
      </c>
      <c r="AB301" s="509">
        <f t="shared" ca="1" si="373"/>
        <v>283</v>
      </c>
      <c r="AC301" s="200">
        <f t="shared" si="421"/>
        <v>24</v>
      </c>
      <c r="AD301" s="201">
        <f t="shared" si="418"/>
        <v>8</v>
      </c>
      <c r="AE301" s="202">
        <f t="shared" ca="1" si="401"/>
        <v>53022</v>
      </c>
      <c r="AF301" s="203">
        <f>IF(Dashboard!$R$24="Float",AF300+Dashboard!$R$24/12,AF300)</f>
        <v>0.06</v>
      </c>
      <c r="AG301" s="204">
        <f t="shared" si="391"/>
        <v>284</v>
      </c>
      <c r="AH301" s="205">
        <f t="shared" si="392"/>
        <v>0</v>
      </c>
      <c r="AI301" s="205">
        <f t="shared" si="375"/>
        <v>0</v>
      </c>
      <c r="AJ301" s="205">
        <f t="shared" si="376"/>
        <v>0</v>
      </c>
      <c r="AK301" s="205">
        <f t="shared" si="393"/>
        <v>0</v>
      </c>
      <c r="AL301" s="205">
        <f t="shared" si="394"/>
        <v>0</v>
      </c>
      <c r="AM301" s="199"/>
      <c r="AN301" s="200">
        <f t="shared" si="422"/>
        <v>25</v>
      </c>
      <c r="AO301" s="201">
        <f t="shared" si="419"/>
        <v>8</v>
      </c>
      <c r="AP301" s="202">
        <f t="shared" ca="1" si="402"/>
        <v>53022</v>
      </c>
      <c r="AQ301" s="203">
        <f>IF(Dashboard!$S$20="Float",AQ300+Dashboard!$T$20/12,AQ300)</f>
        <v>4.4999999999999998E-2</v>
      </c>
      <c r="AR301" s="204">
        <f t="shared" si="395"/>
        <v>284</v>
      </c>
      <c r="AS301" s="205">
        <f t="shared" si="396"/>
        <v>1209716.9543556795</v>
      </c>
      <c r="AT301" s="205">
        <f t="shared" si="379"/>
        <v>-18117.071455543846</v>
      </c>
      <c r="AU301" s="205">
        <f t="shared" si="380"/>
        <v>-4536.4385788337977</v>
      </c>
      <c r="AV301" s="205">
        <f t="shared" si="397"/>
        <v>-13580.632876710049</v>
      </c>
      <c r="AW301" s="205">
        <f t="shared" si="398"/>
        <v>1196136.3214789694</v>
      </c>
      <c r="AX301" s="199"/>
    </row>
    <row r="302" spans="1:50">
      <c r="A302" s="73"/>
      <c r="B302" s="570"/>
      <c r="C302" s="200">
        <f t="shared" si="420"/>
        <v>24</v>
      </c>
      <c r="D302" s="201">
        <f t="shared" si="416"/>
        <v>9</v>
      </c>
      <c r="E302" s="202">
        <f t="shared" ca="1" si="399"/>
        <v>53053</v>
      </c>
      <c r="F302" s="203">
        <f>IF(Dashboard!$Q$5="Float",F301+Dashboard!$R$5/12,F301)</f>
        <v>0.04</v>
      </c>
      <c r="G302" s="204">
        <f t="shared" si="381"/>
        <v>285</v>
      </c>
      <c r="H302" s="205">
        <f t="shared" si="382"/>
        <v>1200206.7771470859</v>
      </c>
      <c r="I302" s="205">
        <f t="shared" si="367"/>
        <v>-17903.073579954715</v>
      </c>
      <c r="J302" s="205">
        <f t="shared" si="368"/>
        <v>-4000.6892571569529</v>
      </c>
      <c r="K302" s="205">
        <f t="shared" si="383"/>
        <v>-13902.384322797761</v>
      </c>
      <c r="L302" s="205">
        <f t="shared" si="384"/>
        <v>1186304.3928242882</v>
      </c>
      <c r="M302" s="199"/>
      <c r="N302" s="200">
        <f t="shared" ca="1" si="385"/>
        <v>12</v>
      </c>
      <c r="O302" s="509">
        <f t="shared" ca="1" si="369"/>
        <v>133</v>
      </c>
      <c r="P302" s="200">
        <f t="shared" ca="1" si="370"/>
        <v>12</v>
      </c>
      <c r="Q302" s="201">
        <f t="shared" si="417"/>
        <v>9</v>
      </c>
      <c r="R302" s="202">
        <f t="shared" si="400"/>
        <v>48458</v>
      </c>
      <c r="S302" s="203">
        <f t="shared" si="386"/>
        <v>0.04</v>
      </c>
      <c r="T302" s="204">
        <f t="shared" ca="1" si="387"/>
        <v>98</v>
      </c>
      <c r="U302" s="205">
        <f t="shared" ca="1" si="388"/>
        <v>417660.81047866546</v>
      </c>
      <c r="V302" s="205">
        <f t="shared" ca="1" si="371"/>
        <v>-2387.076477327299</v>
      </c>
      <c r="W302" s="205">
        <f t="shared" ca="1" si="372"/>
        <v>-1392.2027015955516</v>
      </c>
      <c r="X302" s="205">
        <f t="shared" ca="1" si="389"/>
        <v>-994.8737757317474</v>
      </c>
      <c r="Y302" s="205">
        <f t="shared" ca="1" si="390"/>
        <v>416665.93670293369</v>
      </c>
      <c r="Z302" s="199"/>
      <c r="AA302" s="200">
        <f t="shared" ca="1" si="378"/>
        <v>24</v>
      </c>
      <c r="AB302" s="509">
        <f t="shared" ca="1" si="373"/>
        <v>284</v>
      </c>
      <c r="AC302" s="200">
        <f t="shared" si="421"/>
        <v>24</v>
      </c>
      <c r="AD302" s="201">
        <f t="shared" si="418"/>
        <v>9</v>
      </c>
      <c r="AE302" s="202">
        <f t="shared" ca="1" si="401"/>
        <v>53053</v>
      </c>
      <c r="AF302" s="203">
        <f>IF(Dashboard!$R$24="Float",AF301+Dashboard!$R$24/12,AF301)</f>
        <v>0.06</v>
      </c>
      <c r="AG302" s="204">
        <f t="shared" si="391"/>
        <v>285</v>
      </c>
      <c r="AH302" s="205">
        <f t="shared" si="392"/>
        <v>0</v>
      </c>
      <c r="AI302" s="205">
        <f t="shared" si="375"/>
        <v>0</v>
      </c>
      <c r="AJ302" s="205">
        <f t="shared" si="376"/>
        <v>0</v>
      </c>
      <c r="AK302" s="205">
        <f t="shared" si="393"/>
        <v>0</v>
      </c>
      <c r="AL302" s="205">
        <f t="shared" si="394"/>
        <v>0</v>
      </c>
      <c r="AM302" s="199"/>
      <c r="AN302" s="200">
        <f t="shared" si="422"/>
        <v>25</v>
      </c>
      <c r="AO302" s="201">
        <f t="shared" si="419"/>
        <v>9</v>
      </c>
      <c r="AP302" s="202">
        <f t="shared" ca="1" si="402"/>
        <v>53053</v>
      </c>
      <c r="AQ302" s="203">
        <f>IF(Dashboard!$S$20="Float",AQ301+Dashboard!$T$20/12,AQ301)</f>
        <v>4.4999999999999998E-2</v>
      </c>
      <c r="AR302" s="204">
        <f t="shared" si="395"/>
        <v>285</v>
      </c>
      <c r="AS302" s="205">
        <f t="shared" si="396"/>
        <v>1196136.3214789694</v>
      </c>
      <c r="AT302" s="205">
        <f t="shared" si="379"/>
        <v>-18117.071455543846</v>
      </c>
      <c r="AU302" s="205">
        <f t="shared" si="380"/>
        <v>-4485.511205546135</v>
      </c>
      <c r="AV302" s="205">
        <f t="shared" si="397"/>
        <v>-13631.56024999771</v>
      </c>
      <c r="AW302" s="205">
        <f t="shared" si="398"/>
        <v>1182504.7612289716</v>
      </c>
      <c r="AX302" s="199"/>
    </row>
    <row r="303" spans="1:50">
      <c r="A303" s="73"/>
      <c r="B303" s="570"/>
      <c r="C303" s="200">
        <f t="shared" si="420"/>
        <v>24</v>
      </c>
      <c r="D303" s="201">
        <f t="shared" si="416"/>
        <v>10</v>
      </c>
      <c r="E303" s="202">
        <f t="shared" ca="1" si="399"/>
        <v>53083</v>
      </c>
      <c r="F303" s="203">
        <f>IF(Dashboard!$Q$5="Float",F302+Dashboard!$R$5/12,F302)</f>
        <v>0.04</v>
      </c>
      <c r="G303" s="204">
        <f t="shared" si="381"/>
        <v>286</v>
      </c>
      <c r="H303" s="205">
        <f t="shared" si="382"/>
        <v>1186304.3928242882</v>
      </c>
      <c r="I303" s="205">
        <f t="shared" si="367"/>
        <v>-17903.073579954718</v>
      </c>
      <c r="J303" s="205">
        <f t="shared" si="368"/>
        <v>-3954.347976080961</v>
      </c>
      <c r="K303" s="205">
        <f t="shared" si="383"/>
        <v>-13948.725603873758</v>
      </c>
      <c r="L303" s="205">
        <f t="shared" si="384"/>
        <v>1172355.6672204144</v>
      </c>
      <c r="M303" s="199"/>
      <c r="N303" s="200">
        <f t="shared" ca="1" si="385"/>
        <v>12</v>
      </c>
      <c r="O303" s="509">
        <f t="shared" ca="1" si="369"/>
        <v>134</v>
      </c>
      <c r="P303" s="200">
        <f t="shared" ca="1" si="370"/>
        <v>12</v>
      </c>
      <c r="Q303" s="201">
        <f t="shared" si="417"/>
        <v>10</v>
      </c>
      <c r="R303" s="202">
        <f t="shared" si="400"/>
        <v>48488</v>
      </c>
      <c r="S303" s="203">
        <f t="shared" si="386"/>
        <v>0.04</v>
      </c>
      <c r="T303" s="204">
        <f t="shared" ca="1" si="387"/>
        <v>99</v>
      </c>
      <c r="U303" s="205">
        <f t="shared" ca="1" si="388"/>
        <v>416665.93670293369</v>
      </c>
      <c r="V303" s="205">
        <f t="shared" ca="1" si="371"/>
        <v>-2387.076477327299</v>
      </c>
      <c r="W303" s="205">
        <f t="shared" ca="1" si="372"/>
        <v>-1388.8864556764456</v>
      </c>
      <c r="X303" s="205">
        <f t="shared" ca="1" si="389"/>
        <v>-998.1900216508534</v>
      </c>
      <c r="Y303" s="205">
        <f t="shared" ca="1" si="390"/>
        <v>415667.74668128282</v>
      </c>
      <c r="Z303" s="199"/>
      <c r="AA303" s="200">
        <f t="shared" ca="1" si="378"/>
        <v>24</v>
      </c>
      <c r="AB303" s="509">
        <f t="shared" ca="1" si="373"/>
        <v>285</v>
      </c>
      <c r="AC303" s="200">
        <f t="shared" si="421"/>
        <v>24</v>
      </c>
      <c r="AD303" s="201">
        <f t="shared" si="418"/>
        <v>10</v>
      </c>
      <c r="AE303" s="202">
        <f t="shared" ca="1" si="401"/>
        <v>53083</v>
      </c>
      <c r="AF303" s="203">
        <f>IF(Dashboard!$R$24="Float",AF302+Dashboard!$R$24/12,AF302)</f>
        <v>0.06</v>
      </c>
      <c r="AG303" s="204">
        <f t="shared" si="391"/>
        <v>286</v>
      </c>
      <c r="AH303" s="205">
        <f t="shared" si="392"/>
        <v>0</v>
      </c>
      <c r="AI303" s="205">
        <f t="shared" si="375"/>
        <v>0</v>
      </c>
      <c r="AJ303" s="205">
        <f t="shared" si="376"/>
        <v>0</v>
      </c>
      <c r="AK303" s="205">
        <f t="shared" si="393"/>
        <v>0</v>
      </c>
      <c r="AL303" s="205">
        <f t="shared" si="394"/>
        <v>0</v>
      </c>
      <c r="AM303" s="199"/>
      <c r="AN303" s="200">
        <f t="shared" si="422"/>
        <v>25</v>
      </c>
      <c r="AO303" s="201">
        <f t="shared" si="419"/>
        <v>10</v>
      </c>
      <c r="AP303" s="202">
        <f t="shared" ca="1" si="402"/>
        <v>53083</v>
      </c>
      <c r="AQ303" s="203">
        <f>IF(Dashboard!$S$20="Float",AQ302+Dashboard!$T$20/12,AQ302)</f>
        <v>4.4999999999999998E-2</v>
      </c>
      <c r="AR303" s="204">
        <f t="shared" si="395"/>
        <v>286</v>
      </c>
      <c r="AS303" s="205">
        <f t="shared" si="396"/>
        <v>1182504.7612289716</v>
      </c>
      <c r="AT303" s="205">
        <f t="shared" si="379"/>
        <v>-18117.071455543846</v>
      </c>
      <c r="AU303" s="205">
        <f t="shared" si="380"/>
        <v>-4434.3928546086436</v>
      </c>
      <c r="AV303" s="205">
        <f t="shared" si="397"/>
        <v>-13682.678600935204</v>
      </c>
      <c r="AW303" s="205">
        <f t="shared" si="398"/>
        <v>1168822.0826280364</v>
      </c>
      <c r="AX303" s="199"/>
    </row>
    <row r="304" spans="1:50">
      <c r="A304" s="73"/>
      <c r="B304" s="570"/>
      <c r="C304" s="200">
        <f t="shared" si="420"/>
        <v>24</v>
      </c>
      <c r="D304" s="201">
        <f t="shared" si="416"/>
        <v>11</v>
      </c>
      <c r="E304" s="202">
        <f t="shared" ca="1" si="399"/>
        <v>53114</v>
      </c>
      <c r="F304" s="203">
        <f>IF(Dashboard!$Q$5="Float",F303+Dashboard!$R$5/12,F303)</f>
        <v>0.04</v>
      </c>
      <c r="G304" s="204">
        <f t="shared" si="381"/>
        <v>287</v>
      </c>
      <c r="H304" s="205">
        <f t="shared" si="382"/>
        <v>1172355.6672204144</v>
      </c>
      <c r="I304" s="205">
        <f t="shared" si="367"/>
        <v>-17903.073579954715</v>
      </c>
      <c r="J304" s="205">
        <f t="shared" si="368"/>
        <v>-3907.8522240680481</v>
      </c>
      <c r="K304" s="205">
        <f t="shared" si="383"/>
        <v>-13995.221355886666</v>
      </c>
      <c r="L304" s="205">
        <f t="shared" si="384"/>
        <v>1158360.4458645277</v>
      </c>
      <c r="M304" s="199"/>
      <c r="N304" s="200">
        <f t="shared" ca="1" si="385"/>
        <v>12</v>
      </c>
      <c r="O304" s="509">
        <f t="shared" ca="1" si="369"/>
        <v>135</v>
      </c>
      <c r="P304" s="200">
        <f t="shared" ca="1" si="370"/>
        <v>12</v>
      </c>
      <c r="Q304" s="201">
        <f t="shared" si="417"/>
        <v>11</v>
      </c>
      <c r="R304" s="202">
        <f t="shared" si="400"/>
        <v>48519</v>
      </c>
      <c r="S304" s="203">
        <f t="shared" si="386"/>
        <v>0.04</v>
      </c>
      <c r="T304" s="204">
        <f t="shared" ca="1" si="387"/>
        <v>100</v>
      </c>
      <c r="U304" s="205">
        <f t="shared" ca="1" si="388"/>
        <v>415667.74668128282</v>
      </c>
      <c r="V304" s="205">
        <f t="shared" ca="1" si="371"/>
        <v>-2387.076477327299</v>
      </c>
      <c r="W304" s="205">
        <f t="shared" ca="1" si="372"/>
        <v>-1385.5591556042762</v>
      </c>
      <c r="X304" s="205">
        <f t="shared" ca="1" si="389"/>
        <v>-1001.5173217230229</v>
      </c>
      <c r="Y304" s="205">
        <f t="shared" ca="1" si="390"/>
        <v>414666.22935955977</v>
      </c>
      <c r="Z304" s="199"/>
      <c r="AA304" s="200">
        <f t="shared" ca="1" si="378"/>
        <v>24</v>
      </c>
      <c r="AB304" s="509">
        <f t="shared" ca="1" si="373"/>
        <v>286</v>
      </c>
      <c r="AC304" s="200">
        <f t="shared" si="421"/>
        <v>24</v>
      </c>
      <c r="AD304" s="201">
        <f t="shared" si="418"/>
        <v>11</v>
      </c>
      <c r="AE304" s="202">
        <f t="shared" ca="1" si="401"/>
        <v>53114</v>
      </c>
      <c r="AF304" s="203">
        <f>IF(Dashboard!$R$24="Float",AF303+Dashboard!$R$24/12,AF303)</f>
        <v>0.06</v>
      </c>
      <c r="AG304" s="204">
        <f t="shared" si="391"/>
        <v>287</v>
      </c>
      <c r="AH304" s="205">
        <f t="shared" si="392"/>
        <v>0</v>
      </c>
      <c r="AI304" s="205">
        <f t="shared" si="375"/>
        <v>0</v>
      </c>
      <c r="AJ304" s="205">
        <f t="shared" si="376"/>
        <v>0</v>
      </c>
      <c r="AK304" s="205">
        <f t="shared" si="393"/>
        <v>0</v>
      </c>
      <c r="AL304" s="205">
        <f t="shared" si="394"/>
        <v>0</v>
      </c>
      <c r="AM304" s="199"/>
      <c r="AN304" s="200">
        <f t="shared" si="422"/>
        <v>25</v>
      </c>
      <c r="AO304" s="201">
        <f t="shared" si="419"/>
        <v>11</v>
      </c>
      <c r="AP304" s="202">
        <f t="shared" ca="1" si="402"/>
        <v>53114</v>
      </c>
      <c r="AQ304" s="203">
        <f>IF(Dashboard!$S$20="Float",AQ303+Dashboard!$T$20/12,AQ303)</f>
        <v>4.4999999999999998E-2</v>
      </c>
      <c r="AR304" s="204">
        <f t="shared" si="395"/>
        <v>287</v>
      </c>
      <c r="AS304" s="205">
        <f t="shared" si="396"/>
        <v>1168822.0826280364</v>
      </c>
      <c r="AT304" s="205">
        <f t="shared" si="379"/>
        <v>-18117.071455543846</v>
      </c>
      <c r="AU304" s="205">
        <f t="shared" si="380"/>
        <v>-4383.0828098551365</v>
      </c>
      <c r="AV304" s="205">
        <f t="shared" si="397"/>
        <v>-13733.988645688711</v>
      </c>
      <c r="AW304" s="205">
        <f t="shared" si="398"/>
        <v>1155088.0939823478</v>
      </c>
      <c r="AX304" s="199"/>
    </row>
    <row r="305" spans="1:50">
      <c r="A305" s="73"/>
      <c r="B305" s="570"/>
      <c r="C305" s="200">
        <f t="shared" si="420"/>
        <v>24</v>
      </c>
      <c r="D305" s="201">
        <f t="shared" si="416"/>
        <v>12</v>
      </c>
      <c r="E305" s="202">
        <f t="shared" ca="1" si="399"/>
        <v>53144</v>
      </c>
      <c r="F305" s="203">
        <f>IF(Dashboard!$Q$5="Float",F304+Dashboard!$R$5/12,F304)</f>
        <v>0.04</v>
      </c>
      <c r="G305" s="204">
        <f t="shared" si="381"/>
        <v>288</v>
      </c>
      <c r="H305" s="205">
        <f t="shared" si="382"/>
        <v>1158360.4458645277</v>
      </c>
      <c r="I305" s="205">
        <f t="shared" si="367"/>
        <v>-17903.073579954715</v>
      </c>
      <c r="J305" s="205">
        <f t="shared" si="368"/>
        <v>-3861.2014862150922</v>
      </c>
      <c r="K305" s="205">
        <f t="shared" si="383"/>
        <v>-14041.872093739623</v>
      </c>
      <c r="L305" s="205">
        <f t="shared" si="384"/>
        <v>1144318.573770788</v>
      </c>
      <c r="M305" s="199"/>
      <c r="N305" s="200">
        <f t="shared" ca="1" si="385"/>
        <v>12</v>
      </c>
      <c r="O305" s="509">
        <f t="shared" ca="1" si="369"/>
        <v>136</v>
      </c>
      <c r="P305" s="200">
        <f t="shared" ca="1" si="370"/>
        <v>12</v>
      </c>
      <c r="Q305" s="201">
        <f t="shared" si="417"/>
        <v>12</v>
      </c>
      <c r="R305" s="202">
        <f t="shared" si="400"/>
        <v>48549</v>
      </c>
      <c r="S305" s="203">
        <f t="shared" si="386"/>
        <v>0.04</v>
      </c>
      <c r="T305" s="204">
        <f t="shared" ca="1" si="387"/>
        <v>101</v>
      </c>
      <c r="U305" s="205">
        <f t="shared" ca="1" si="388"/>
        <v>414666.22935955977</v>
      </c>
      <c r="V305" s="205">
        <f t="shared" ca="1" si="371"/>
        <v>-2387.076477327299</v>
      </c>
      <c r="W305" s="205">
        <f t="shared" ca="1" si="372"/>
        <v>-1382.2207645318658</v>
      </c>
      <c r="X305" s="205">
        <f t="shared" ca="1" si="389"/>
        <v>-1004.8557127954332</v>
      </c>
      <c r="Y305" s="205">
        <f t="shared" ca="1" si="390"/>
        <v>413661.37364676432</v>
      </c>
      <c r="Z305" s="199"/>
      <c r="AA305" s="200">
        <f t="shared" ca="1" si="378"/>
        <v>24</v>
      </c>
      <c r="AB305" s="509">
        <f t="shared" ca="1" si="373"/>
        <v>287</v>
      </c>
      <c r="AC305" s="200">
        <f t="shared" si="421"/>
        <v>24</v>
      </c>
      <c r="AD305" s="201">
        <f t="shared" si="418"/>
        <v>12</v>
      </c>
      <c r="AE305" s="202">
        <f t="shared" ca="1" si="401"/>
        <v>53144</v>
      </c>
      <c r="AF305" s="203">
        <f>IF(Dashboard!$R$24="Float",AF304+Dashboard!$R$24/12,AF304)</f>
        <v>0.06</v>
      </c>
      <c r="AG305" s="204">
        <f t="shared" si="391"/>
        <v>288</v>
      </c>
      <c r="AH305" s="205">
        <f t="shared" si="392"/>
        <v>0</v>
      </c>
      <c r="AI305" s="205">
        <f t="shared" si="375"/>
        <v>0</v>
      </c>
      <c r="AJ305" s="205">
        <f t="shared" si="376"/>
        <v>0</v>
      </c>
      <c r="AK305" s="205">
        <f t="shared" si="393"/>
        <v>0</v>
      </c>
      <c r="AL305" s="205">
        <f t="shared" si="394"/>
        <v>0</v>
      </c>
      <c r="AM305" s="199"/>
      <c r="AN305" s="200">
        <f t="shared" si="422"/>
        <v>25</v>
      </c>
      <c r="AO305" s="201">
        <f t="shared" si="419"/>
        <v>12</v>
      </c>
      <c r="AP305" s="202">
        <f t="shared" ca="1" si="402"/>
        <v>53144</v>
      </c>
      <c r="AQ305" s="203">
        <f>IF(Dashboard!$S$20="Float",AQ304+Dashboard!$T$20/12,AQ304)</f>
        <v>4.4999999999999998E-2</v>
      </c>
      <c r="AR305" s="204">
        <f t="shared" si="395"/>
        <v>288</v>
      </c>
      <c r="AS305" s="205">
        <f t="shared" si="396"/>
        <v>1155088.0939823478</v>
      </c>
      <c r="AT305" s="205">
        <f t="shared" si="379"/>
        <v>-18117.07145554385</v>
      </c>
      <c r="AU305" s="205">
        <f t="shared" si="380"/>
        <v>-4331.5803524338035</v>
      </c>
      <c r="AV305" s="205">
        <f t="shared" si="397"/>
        <v>-13785.491103110046</v>
      </c>
      <c r="AW305" s="205">
        <f t="shared" si="398"/>
        <v>1141302.6028792376</v>
      </c>
      <c r="AX305" s="199"/>
    </row>
    <row r="306" spans="1:50">
      <c r="A306" s="73"/>
      <c r="B306" s="571">
        <f>+C306</f>
        <v>25</v>
      </c>
      <c r="C306" s="16">
        <f t="shared" ref="C306" si="423">+C305+1</f>
        <v>25</v>
      </c>
      <c r="D306" s="17">
        <v>1</v>
      </c>
      <c r="E306" s="18">
        <f t="shared" ca="1" si="399"/>
        <v>53175</v>
      </c>
      <c r="F306" s="10">
        <f>IF(Dashboard!$Q$5="Float",F305+Dashboard!$R$5/12,F305)</f>
        <v>0.04</v>
      </c>
      <c r="G306" s="14">
        <f t="shared" si="381"/>
        <v>289</v>
      </c>
      <c r="H306" s="5">
        <f t="shared" si="382"/>
        <v>1144318.573770788</v>
      </c>
      <c r="I306" s="5">
        <f t="shared" si="367"/>
        <v>-17903.073579954715</v>
      </c>
      <c r="J306" s="5">
        <f t="shared" si="368"/>
        <v>-3814.3952459026273</v>
      </c>
      <c r="K306" s="5">
        <f t="shared" si="383"/>
        <v>-14088.678334052087</v>
      </c>
      <c r="L306" s="5">
        <f t="shared" si="384"/>
        <v>1130229.8954367361</v>
      </c>
      <c r="M306" s="199"/>
      <c r="N306" s="16">
        <f t="shared" ca="1" si="385"/>
        <v>12</v>
      </c>
      <c r="O306" s="508">
        <f t="shared" ca="1" si="369"/>
        <v>137</v>
      </c>
      <c r="P306" s="16">
        <f t="shared" ca="1" si="370"/>
        <v>12</v>
      </c>
      <c r="Q306" s="17">
        <v>1</v>
      </c>
      <c r="R306" s="18">
        <f t="shared" si="400"/>
        <v>48580</v>
      </c>
      <c r="S306" s="10">
        <f t="shared" si="386"/>
        <v>0.04</v>
      </c>
      <c r="T306" s="14">
        <f t="shared" ca="1" si="387"/>
        <v>102</v>
      </c>
      <c r="U306" s="5">
        <f t="shared" ca="1" si="388"/>
        <v>413661.37364676432</v>
      </c>
      <c r="V306" s="5">
        <f t="shared" ca="1" si="371"/>
        <v>-2387.076477327299</v>
      </c>
      <c r="W306" s="5">
        <f t="shared" ca="1" si="372"/>
        <v>-1378.8712454892145</v>
      </c>
      <c r="X306" s="5">
        <f t="shared" ca="1" si="389"/>
        <v>-1008.2052318380845</v>
      </c>
      <c r="Y306" s="5">
        <f t="shared" ca="1" si="390"/>
        <v>412653.16841492621</v>
      </c>
      <c r="Z306" s="199"/>
      <c r="AA306" s="16">
        <f t="shared" ca="1" si="378"/>
        <v>24</v>
      </c>
      <c r="AB306" s="508">
        <f t="shared" ca="1" si="373"/>
        <v>288</v>
      </c>
      <c r="AC306" s="16">
        <f t="shared" ref="AC306" si="424">+AC305+1</f>
        <v>25</v>
      </c>
      <c r="AD306" s="17">
        <v>1</v>
      </c>
      <c r="AE306" s="18">
        <f t="shared" ca="1" si="401"/>
        <v>53175</v>
      </c>
      <c r="AF306" s="10">
        <f>IF(Dashboard!$R$24="Float",AF305+Dashboard!$R$24/12,AF305)</f>
        <v>0.06</v>
      </c>
      <c r="AG306" s="14">
        <f t="shared" si="391"/>
        <v>289</v>
      </c>
      <c r="AH306" s="5">
        <f t="shared" si="392"/>
        <v>0</v>
      </c>
      <c r="AI306" s="5">
        <f t="shared" si="375"/>
        <v>0</v>
      </c>
      <c r="AJ306" s="5">
        <f t="shared" si="376"/>
        <v>0</v>
      </c>
      <c r="AK306" s="5">
        <f t="shared" si="393"/>
        <v>0</v>
      </c>
      <c r="AL306" s="5">
        <f t="shared" si="394"/>
        <v>0</v>
      </c>
      <c r="AM306" s="199"/>
      <c r="AN306" s="16">
        <f t="shared" ref="AN306" si="425">+AN305+1</f>
        <v>26</v>
      </c>
      <c r="AO306" s="17">
        <v>1</v>
      </c>
      <c r="AP306" s="18">
        <f t="shared" ca="1" si="402"/>
        <v>53175</v>
      </c>
      <c r="AQ306" s="10">
        <f>IF(Dashboard!$S$20="Float",AQ305+Dashboard!$T$20/12,AQ305)</f>
        <v>4.4999999999999998E-2</v>
      </c>
      <c r="AR306" s="14">
        <f t="shared" si="395"/>
        <v>289</v>
      </c>
      <c r="AS306" s="5">
        <f t="shared" si="396"/>
        <v>1141302.6028792376</v>
      </c>
      <c r="AT306" s="5">
        <f t="shared" si="379"/>
        <v>-18117.071455543846</v>
      </c>
      <c r="AU306" s="5">
        <f t="shared" si="380"/>
        <v>-4279.8847607971411</v>
      </c>
      <c r="AV306" s="5">
        <f t="shared" si="397"/>
        <v>-13837.186694746706</v>
      </c>
      <c r="AW306" s="5">
        <f t="shared" si="398"/>
        <v>1127465.416184491</v>
      </c>
      <c r="AX306" s="199"/>
    </row>
    <row r="307" spans="1:50">
      <c r="A307" s="73"/>
      <c r="B307" s="572"/>
      <c r="C307" s="16">
        <f>+C306</f>
        <v>25</v>
      </c>
      <c r="D307" s="17">
        <f>+D306+1</f>
        <v>2</v>
      </c>
      <c r="E307" s="18">
        <f t="shared" ca="1" si="399"/>
        <v>53206</v>
      </c>
      <c r="F307" s="10">
        <f>IF(Dashboard!$Q$5="Float",F306+Dashboard!$R$5/12,F306)</f>
        <v>0.04</v>
      </c>
      <c r="G307" s="14">
        <f t="shared" si="381"/>
        <v>290</v>
      </c>
      <c r="H307" s="5">
        <f t="shared" si="382"/>
        <v>1130229.8954367361</v>
      </c>
      <c r="I307" s="5">
        <f t="shared" si="367"/>
        <v>-17903.073579954715</v>
      </c>
      <c r="J307" s="5">
        <f t="shared" si="368"/>
        <v>-3767.4329847891204</v>
      </c>
      <c r="K307" s="5">
        <f t="shared" si="383"/>
        <v>-14135.640595165594</v>
      </c>
      <c r="L307" s="5">
        <f t="shared" si="384"/>
        <v>1116094.2548415705</v>
      </c>
      <c r="M307" s="199"/>
      <c r="N307" s="16">
        <f t="shared" ca="1" si="385"/>
        <v>12</v>
      </c>
      <c r="O307" s="508">
        <f t="shared" ca="1" si="369"/>
        <v>138</v>
      </c>
      <c r="P307" s="16">
        <f t="shared" ca="1" si="370"/>
        <v>12</v>
      </c>
      <c r="Q307" s="17">
        <f>+Q306+1</f>
        <v>2</v>
      </c>
      <c r="R307" s="18">
        <f t="shared" si="400"/>
        <v>48611</v>
      </c>
      <c r="S307" s="10">
        <f t="shared" si="386"/>
        <v>0.04</v>
      </c>
      <c r="T307" s="14">
        <f t="shared" ca="1" si="387"/>
        <v>103</v>
      </c>
      <c r="U307" s="5">
        <f t="shared" ca="1" si="388"/>
        <v>412653.16841492621</v>
      </c>
      <c r="V307" s="5">
        <f t="shared" ca="1" si="371"/>
        <v>-2387.076477327299</v>
      </c>
      <c r="W307" s="5">
        <f t="shared" ca="1" si="372"/>
        <v>-1375.5105613830874</v>
      </c>
      <c r="X307" s="5">
        <f t="shared" ca="1" si="389"/>
        <v>-1011.5659159442116</v>
      </c>
      <c r="Y307" s="5">
        <f t="shared" ca="1" si="390"/>
        <v>411641.60249898199</v>
      </c>
      <c r="Z307" s="199"/>
      <c r="AA307" s="16">
        <f t="shared" ca="1" si="378"/>
        <v>25</v>
      </c>
      <c r="AB307" s="508">
        <f t="shared" ca="1" si="373"/>
        <v>289</v>
      </c>
      <c r="AC307" s="16">
        <f>+AC306</f>
        <v>25</v>
      </c>
      <c r="AD307" s="17">
        <f>+AD306+1</f>
        <v>2</v>
      </c>
      <c r="AE307" s="18">
        <f t="shared" ca="1" si="401"/>
        <v>53206</v>
      </c>
      <c r="AF307" s="10">
        <f>IF(Dashboard!$R$24="Float",AF306+Dashboard!$R$24/12,AF306)</f>
        <v>0.06</v>
      </c>
      <c r="AG307" s="14">
        <f t="shared" si="391"/>
        <v>290</v>
      </c>
      <c r="AH307" s="5">
        <f t="shared" si="392"/>
        <v>0</v>
      </c>
      <c r="AI307" s="5">
        <f t="shared" si="375"/>
        <v>0</v>
      </c>
      <c r="AJ307" s="5">
        <f t="shared" si="376"/>
        <v>0</v>
      </c>
      <c r="AK307" s="5">
        <f t="shared" si="393"/>
        <v>0</v>
      </c>
      <c r="AL307" s="5">
        <f t="shared" si="394"/>
        <v>0</v>
      </c>
      <c r="AM307" s="199"/>
      <c r="AN307" s="16">
        <f>+AN306</f>
        <v>26</v>
      </c>
      <c r="AO307" s="17">
        <f>+AO306+1</f>
        <v>2</v>
      </c>
      <c r="AP307" s="18">
        <f t="shared" ca="1" si="402"/>
        <v>53206</v>
      </c>
      <c r="AQ307" s="10">
        <f>IF(Dashboard!$S$20="Float",AQ306+Dashboard!$T$20/12,AQ306)</f>
        <v>4.4999999999999998E-2</v>
      </c>
      <c r="AR307" s="14">
        <f t="shared" si="395"/>
        <v>290</v>
      </c>
      <c r="AS307" s="5">
        <f t="shared" si="396"/>
        <v>1127465.416184491</v>
      </c>
      <c r="AT307" s="5">
        <f t="shared" si="379"/>
        <v>-18117.07145554385</v>
      </c>
      <c r="AU307" s="5">
        <f t="shared" si="380"/>
        <v>-4227.995310691841</v>
      </c>
      <c r="AV307" s="5">
        <f t="shared" si="397"/>
        <v>-13889.07614485201</v>
      </c>
      <c r="AW307" s="5">
        <f t="shared" si="398"/>
        <v>1113576.340039639</v>
      </c>
      <c r="AX307" s="199"/>
    </row>
    <row r="308" spans="1:50">
      <c r="A308" s="73"/>
      <c r="B308" s="572"/>
      <c r="C308" s="16">
        <f>+C307</f>
        <v>25</v>
      </c>
      <c r="D308" s="17">
        <f>+D307+1</f>
        <v>3</v>
      </c>
      <c r="E308" s="18">
        <f t="shared" ca="1" si="399"/>
        <v>53236</v>
      </c>
      <c r="F308" s="10">
        <f>IF(Dashboard!$Q$5="Float",F307+Dashboard!$R$5/12,F307)</f>
        <v>0.04</v>
      </c>
      <c r="G308" s="14">
        <f t="shared" si="381"/>
        <v>291</v>
      </c>
      <c r="H308" s="5">
        <f t="shared" si="382"/>
        <v>1116094.2548415705</v>
      </c>
      <c r="I308" s="5">
        <f t="shared" si="367"/>
        <v>-17903.073579954718</v>
      </c>
      <c r="J308" s="5">
        <f t="shared" si="368"/>
        <v>-3720.3141828052353</v>
      </c>
      <c r="K308" s="5">
        <f t="shared" si="383"/>
        <v>-14182.759397149483</v>
      </c>
      <c r="L308" s="5">
        <f t="shared" si="384"/>
        <v>1101911.495444421</v>
      </c>
      <c r="M308" s="199"/>
      <c r="N308" s="16">
        <f t="shared" ca="1" si="385"/>
        <v>12</v>
      </c>
      <c r="O308" s="508">
        <f t="shared" ca="1" si="369"/>
        <v>139</v>
      </c>
      <c r="P308" s="16">
        <f t="shared" ca="1" si="370"/>
        <v>12</v>
      </c>
      <c r="Q308" s="17">
        <f>+Q307+1</f>
        <v>3</v>
      </c>
      <c r="R308" s="18">
        <f t="shared" si="400"/>
        <v>48639</v>
      </c>
      <c r="S308" s="10">
        <f t="shared" si="386"/>
        <v>0.04</v>
      </c>
      <c r="T308" s="14">
        <f t="shared" ca="1" si="387"/>
        <v>104</v>
      </c>
      <c r="U308" s="5">
        <f t="shared" ca="1" si="388"/>
        <v>411641.60249898199</v>
      </c>
      <c r="V308" s="5">
        <f t="shared" ca="1" si="371"/>
        <v>-2387.076477327299</v>
      </c>
      <c r="W308" s="5">
        <f t="shared" ca="1" si="372"/>
        <v>-1372.1386749966066</v>
      </c>
      <c r="X308" s="5">
        <f t="shared" ca="1" si="389"/>
        <v>-1014.9378023306924</v>
      </c>
      <c r="Y308" s="5">
        <f t="shared" ca="1" si="390"/>
        <v>410626.66469665128</v>
      </c>
      <c r="Z308" s="199"/>
      <c r="AA308" s="16">
        <f t="shared" ca="1" si="378"/>
        <v>25</v>
      </c>
      <c r="AB308" s="508">
        <f t="shared" ca="1" si="373"/>
        <v>290</v>
      </c>
      <c r="AC308" s="16">
        <f>+AC307</f>
        <v>25</v>
      </c>
      <c r="AD308" s="17">
        <f>+AD307+1</f>
        <v>3</v>
      </c>
      <c r="AE308" s="18">
        <f t="shared" ca="1" si="401"/>
        <v>53236</v>
      </c>
      <c r="AF308" s="10">
        <f>IF(Dashboard!$R$24="Float",AF307+Dashboard!$R$24/12,AF307)</f>
        <v>0.06</v>
      </c>
      <c r="AG308" s="14">
        <f t="shared" si="391"/>
        <v>291</v>
      </c>
      <c r="AH308" s="5">
        <f t="shared" si="392"/>
        <v>0</v>
      </c>
      <c r="AI308" s="5">
        <f t="shared" si="375"/>
        <v>0</v>
      </c>
      <c r="AJ308" s="5">
        <f t="shared" si="376"/>
        <v>0</v>
      </c>
      <c r="AK308" s="5">
        <f t="shared" si="393"/>
        <v>0</v>
      </c>
      <c r="AL308" s="5">
        <f t="shared" si="394"/>
        <v>0</v>
      </c>
      <c r="AM308" s="199"/>
      <c r="AN308" s="16">
        <f>+AN307</f>
        <v>26</v>
      </c>
      <c r="AO308" s="17">
        <f>+AO307+1</f>
        <v>3</v>
      </c>
      <c r="AP308" s="18">
        <f t="shared" ca="1" si="402"/>
        <v>53236</v>
      </c>
      <c r="AQ308" s="10">
        <f>IF(Dashboard!$S$20="Float",AQ307+Dashboard!$T$20/12,AQ307)</f>
        <v>4.4999999999999998E-2</v>
      </c>
      <c r="AR308" s="14">
        <f t="shared" si="395"/>
        <v>291</v>
      </c>
      <c r="AS308" s="5">
        <f t="shared" si="396"/>
        <v>1113576.340039639</v>
      </c>
      <c r="AT308" s="5">
        <f t="shared" si="379"/>
        <v>-18117.07145554385</v>
      </c>
      <c r="AU308" s="5">
        <f t="shared" si="380"/>
        <v>-4175.9112751486464</v>
      </c>
      <c r="AV308" s="5">
        <f t="shared" si="397"/>
        <v>-13941.160180395203</v>
      </c>
      <c r="AW308" s="5">
        <f t="shared" si="398"/>
        <v>1099635.1798592438</v>
      </c>
      <c r="AX308" s="199"/>
    </row>
    <row r="309" spans="1:50">
      <c r="A309" s="73"/>
      <c r="B309" s="572"/>
      <c r="C309" s="16">
        <f>+C308</f>
        <v>25</v>
      </c>
      <c r="D309" s="17">
        <f t="shared" ref="D309:D317" si="426">+D308+1</f>
        <v>4</v>
      </c>
      <c r="E309" s="18">
        <f t="shared" ca="1" si="399"/>
        <v>53267</v>
      </c>
      <c r="F309" s="10">
        <f>IF(Dashboard!$Q$5="Float",F308+Dashboard!$R$5/12,F308)</f>
        <v>0.04</v>
      </c>
      <c r="G309" s="14">
        <f t="shared" si="381"/>
        <v>292</v>
      </c>
      <c r="H309" s="5">
        <f t="shared" si="382"/>
        <v>1101911.495444421</v>
      </c>
      <c r="I309" s="5">
        <f t="shared" si="367"/>
        <v>-17903.073579954718</v>
      </c>
      <c r="J309" s="5">
        <f t="shared" si="368"/>
        <v>-3673.0383181480702</v>
      </c>
      <c r="K309" s="5">
        <f t="shared" si="383"/>
        <v>-14230.035261806648</v>
      </c>
      <c r="L309" s="5">
        <f t="shared" si="384"/>
        <v>1087681.4601826144</v>
      </c>
      <c r="M309" s="199"/>
      <c r="N309" s="16">
        <f t="shared" ca="1" si="385"/>
        <v>12</v>
      </c>
      <c r="O309" s="508">
        <f t="shared" ca="1" si="369"/>
        <v>140</v>
      </c>
      <c r="P309" s="16">
        <f t="shared" ca="1" si="370"/>
        <v>12</v>
      </c>
      <c r="Q309" s="17">
        <f t="shared" ref="Q309:Q317" si="427">+Q308+1</f>
        <v>4</v>
      </c>
      <c r="R309" s="18">
        <f t="shared" si="400"/>
        <v>48670</v>
      </c>
      <c r="S309" s="10">
        <f t="shared" si="386"/>
        <v>0.04</v>
      </c>
      <c r="T309" s="14">
        <f t="shared" ca="1" si="387"/>
        <v>105</v>
      </c>
      <c r="U309" s="5">
        <f t="shared" ca="1" si="388"/>
        <v>410626.66469665128</v>
      </c>
      <c r="V309" s="5">
        <f t="shared" ca="1" si="371"/>
        <v>-2387.076477327299</v>
      </c>
      <c r="W309" s="5">
        <f t="shared" ca="1" si="372"/>
        <v>-1368.7555489888375</v>
      </c>
      <c r="X309" s="5">
        <f t="shared" ca="1" si="389"/>
        <v>-1018.3209283384615</v>
      </c>
      <c r="Y309" s="5">
        <f t="shared" ca="1" si="390"/>
        <v>409608.34376831283</v>
      </c>
      <c r="Z309" s="199"/>
      <c r="AA309" s="16">
        <f t="shared" ca="1" si="378"/>
        <v>25</v>
      </c>
      <c r="AB309" s="508">
        <f t="shared" ca="1" si="373"/>
        <v>291</v>
      </c>
      <c r="AC309" s="16">
        <f>+AC308</f>
        <v>25</v>
      </c>
      <c r="AD309" s="17">
        <f t="shared" ref="AD309:AD317" si="428">+AD308+1</f>
        <v>4</v>
      </c>
      <c r="AE309" s="18">
        <f t="shared" ca="1" si="401"/>
        <v>53267</v>
      </c>
      <c r="AF309" s="10">
        <f>IF(Dashboard!$R$24="Float",AF308+Dashboard!$R$24/12,AF308)</f>
        <v>0.06</v>
      </c>
      <c r="AG309" s="14">
        <f t="shared" si="391"/>
        <v>292</v>
      </c>
      <c r="AH309" s="5">
        <f t="shared" si="392"/>
        <v>0</v>
      </c>
      <c r="AI309" s="5">
        <f t="shared" si="375"/>
        <v>0</v>
      </c>
      <c r="AJ309" s="5">
        <f t="shared" si="376"/>
        <v>0</v>
      </c>
      <c r="AK309" s="5">
        <f t="shared" si="393"/>
        <v>0</v>
      </c>
      <c r="AL309" s="5">
        <f t="shared" si="394"/>
        <v>0</v>
      </c>
      <c r="AM309" s="199"/>
      <c r="AN309" s="16">
        <f>+AN308</f>
        <v>26</v>
      </c>
      <c r="AO309" s="17">
        <f t="shared" ref="AO309:AO317" si="429">+AO308+1</f>
        <v>4</v>
      </c>
      <c r="AP309" s="18">
        <f t="shared" ca="1" si="402"/>
        <v>53267</v>
      </c>
      <c r="AQ309" s="10">
        <f>IF(Dashboard!$S$20="Float",AQ308+Dashboard!$T$20/12,AQ308)</f>
        <v>4.4999999999999998E-2</v>
      </c>
      <c r="AR309" s="14">
        <f t="shared" si="395"/>
        <v>292</v>
      </c>
      <c r="AS309" s="5">
        <f t="shared" si="396"/>
        <v>1099635.1798592438</v>
      </c>
      <c r="AT309" s="5">
        <f t="shared" si="379"/>
        <v>-18117.07145554385</v>
      </c>
      <c r="AU309" s="5">
        <f t="shared" si="380"/>
        <v>-4123.6319244721644</v>
      </c>
      <c r="AV309" s="5">
        <f t="shared" si="397"/>
        <v>-13993.439531071686</v>
      </c>
      <c r="AW309" s="5">
        <f t="shared" si="398"/>
        <v>1085641.7403281722</v>
      </c>
      <c r="AX309" s="199"/>
    </row>
    <row r="310" spans="1:50">
      <c r="A310" s="73"/>
      <c r="B310" s="572"/>
      <c r="C310" s="16">
        <f t="shared" ref="C310:C317" si="430">+C309</f>
        <v>25</v>
      </c>
      <c r="D310" s="17">
        <f t="shared" si="426"/>
        <v>5</v>
      </c>
      <c r="E310" s="18">
        <f t="shared" ca="1" si="399"/>
        <v>53297</v>
      </c>
      <c r="F310" s="10">
        <f>IF(Dashboard!$Q$5="Float",F309+Dashboard!$R$5/12,F309)</f>
        <v>0.04</v>
      </c>
      <c r="G310" s="14">
        <f t="shared" si="381"/>
        <v>293</v>
      </c>
      <c r="H310" s="5">
        <f t="shared" si="382"/>
        <v>1087681.4601826144</v>
      </c>
      <c r="I310" s="5">
        <f t="shared" si="367"/>
        <v>-17903.073579954718</v>
      </c>
      <c r="J310" s="5">
        <f t="shared" si="368"/>
        <v>-3625.6048672753818</v>
      </c>
      <c r="K310" s="5">
        <f t="shared" si="383"/>
        <v>-14277.468712679336</v>
      </c>
      <c r="L310" s="5">
        <f t="shared" si="384"/>
        <v>1073403.991469935</v>
      </c>
      <c r="M310" s="199"/>
      <c r="N310" s="16">
        <f t="shared" ca="1" si="385"/>
        <v>12</v>
      </c>
      <c r="O310" s="508">
        <f t="shared" ca="1" si="369"/>
        <v>141</v>
      </c>
      <c r="P310" s="16">
        <f t="shared" ca="1" si="370"/>
        <v>12</v>
      </c>
      <c r="Q310" s="17">
        <f t="shared" si="427"/>
        <v>5</v>
      </c>
      <c r="R310" s="18">
        <f t="shared" si="400"/>
        <v>48700</v>
      </c>
      <c r="S310" s="10">
        <f t="shared" si="386"/>
        <v>0.04</v>
      </c>
      <c r="T310" s="14">
        <f t="shared" ca="1" si="387"/>
        <v>106</v>
      </c>
      <c r="U310" s="5">
        <f t="shared" ca="1" si="388"/>
        <v>409608.34376831283</v>
      </c>
      <c r="V310" s="5">
        <f t="shared" ca="1" si="371"/>
        <v>-2387.0764773272995</v>
      </c>
      <c r="W310" s="5">
        <f t="shared" ca="1" si="372"/>
        <v>-1365.361145894376</v>
      </c>
      <c r="X310" s="5">
        <f t="shared" ca="1" si="389"/>
        <v>-1021.7153314329234</v>
      </c>
      <c r="Y310" s="5">
        <f t="shared" ca="1" si="390"/>
        <v>408586.6284368799</v>
      </c>
      <c r="Z310" s="199"/>
      <c r="AA310" s="16">
        <f t="shared" ca="1" si="378"/>
        <v>25</v>
      </c>
      <c r="AB310" s="508">
        <f t="shared" ca="1" si="373"/>
        <v>292</v>
      </c>
      <c r="AC310" s="16">
        <f t="shared" ref="AC310:AC317" si="431">+AC309</f>
        <v>25</v>
      </c>
      <c r="AD310" s="17">
        <f t="shared" si="428"/>
        <v>5</v>
      </c>
      <c r="AE310" s="18">
        <f t="shared" ca="1" si="401"/>
        <v>53297</v>
      </c>
      <c r="AF310" s="10">
        <f>IF(Dashboard!$R$24="Float",AF309+Dashboard!$R$24/12,AF309)</f>
        <v>0.06</v>
      </c>
      <c r="AG310" s="14">
        <f t="shared" si="391"/>
        <v>293</v>
      </c>
      <c r="AH310" s="5">
        <f t="shared" si="392"/>
        <v>0</v>
      </c>
      <c r="AI310" s="5">
        <f t="shared" si="375"/>
        <v>0</v>
      </c>
      <c r="AJ310" s="5">
        <f t="shared" si="376"/>
        <v>0</v>
      </c>
      <c r="AK310" s="5">
        <f t="shared" si="393"/>
        <v>0</v>
      </c>
      <c r="AL310" s="5">
        <f t="shared" si="394"/>
        <v>0</v>
      </c>
      <c r="AM310" s="199"/>
      <c r="AN310" s="16">
        <f t="shared" ref="AN310:AN317" si="432">+AN309</f>
        <v>26</v>
      </c>
      <c r="AO310" s="17">
        <f t="shared" si="429"/>
        <v>5</v>
      </c>
      <c r="AP310" s="18">
        <f t="shared" ca="1" si="402"/>
        <v>53297</v>
      </c>
      <c r="AQ310" s="10">
        <f>IF(Dashboard!$S$20="Float",AQ309+Dashboard!$T$20/12,AQ309)</f>
        <v>4.4999999999999998E-2</v>
      </c>
      <c r="AR310" s="14">
        <f t="shared" si="395"/>
        <v>293</v>
      </c>
      <c r="AS310" s="5">
        <f t="shared" si="396"/>
        <v>1085641.7403281722</v>
      </c>
      <c r="AT310" s="5">
        <f t="shared" si="379"/>
        <v>-18117.07145554385</v>
      </c>
      <c r="AU310" s="5">
        <f t="shared" si="380"/>
        <v>-4071.1565262306453</v>
      </c>
      <c r="AV310" s="5">
        <f t="shared" si="397"/>
        <v>-14045.914929313205</v>
      </c>
      <c r="AW310" s="5">
        <f t="shared" si="398"/>
        <v>1071595.8253988591</v>
      </c>
      <c r="AX310" s="199"/>
    </row>
    <row r="311" spans="1:50">
      <c r="A311" s="73"/>
      <c r="B311" s="572"/>
      <c r="C311" s="16">
        <f t="shared" si="430"/>
        <v>25</v>
      </c>
      <c r="D311" s="17">
        <f t="shared" si="426"/>
        <v>6</v>
      </c>
      <c r="E311" s="18">
        <f t="shared" ca="1" si="399"/>
        <v>53328</v>
      </c>
      <c r="F311" s="10">
        <f>IF(Dashboard!$Q$5="Float",F310+Dashboard!$R$5/12,F310)</f>
        <v>0.04</v>
      </c>
      <c r="G311" s="14">
        <f t="shared" si="381"/>
        <v>294</v>
      </c>
      <c r="H311" s="5">
        <f t="shared" si="382"/>
        <v>1073403.991469935</v>
      </c>
      <c r="I311" s="5">
        <f t="shared" si="367"/>
        <v>-17903.073579954718</v>
      </c>
      <c r="J311" s="5">
        <f t="shared" si="368"/>
        <v>-3578.0133048997836</v>
      </c>
      <c r="K311" s="5">
        <f t="shared" si="383"/>
        <v>-14325.060275054935</v>
      </c>
      <c r="L311" s="5">
        <f t="shared" si="384"/>
        <v>1059078.93119488</v>
      </c>
      <c r="M311" s="199"/>
      <c r="N311" s="16">
        <f t="shared" ca="1" si="385"/>
        <v>12</v>
      </c>
      <c r="O311" s="508">
        <f t="shared" ca="1" si="369"/>
        <v>142</v>
      </c>
      <c r="P311" s="16">
        <f t="shared" ca="1" si="370"/>
        <v>12</v>
      </c>
      <c r="Q311" s="17">
        <f t="shared" si="427"/>
        <v>6</v>
      </c>
      <c r="R311" s="18">
        <f t="shared" si="400"/>
        <v>48731</v>
      </c>
      <c r="S311" s="10">
        <f t="shared" si="386"/>
        <v>0.04</v>
      </c>
      <c r="T311" s="14">
        <f t="shared" ca="1" si="387"/>
        <v>107</v>
      </c>
      <c r="U311" s="5">
        <f t="shared" ca="1" si="388"/>
        <v>408586.6284368799</v>
      </c>
      <c r="V311" s="5">
        <f t="shared" ca="1" si="371"/>
        <v>-2387.076477327299</v>
      </c>
      <c r="W311" s="5">
        <f t="shared" ca="1" si="372"/>
        <v>-1361.955428122933</v>
      </c>
      <c r="X311" s="5">
        <f t="shared" ca="1" si="389"/>
        <v>-1025.121049204366</v>
      </c>
      <c r="Y311" s="5">
        <f t="shared" ca="1" si="390"/>
        <v>407561.50738767552</v>
      </c>
      <c r="Z311" s="199"/>
      <c r="AA311" s="16">
        <f t="shared" ca="1" si="378"/>
        <v>25</v>
      </c>
      <c r="AB311" s="508">
        <f t="shared" ca="1" si="373"/>
        <v>293</v>
      </c>
      <c r="AC311" s="16">
        <f t="shared" si="431"/>
        <v>25</v>
      </c>
      <c r="AD311" s="17">
        <f t="shared" si="428"/>
        <v>6</v>
      </c>
      <c r="AE311" s="18">
        <f t="shared" ca="1" si="401"/>
        <v>53328</v>
      </c>
      <c r="AF311" s="10">
        <f>IF(Dashboard!$R$24="Float",AF310+Dashboard!$R$24/12,AF310)</f>
        <v>0.06</v>
      </c>
      <c r="AG311" s="14">
        <f t="shared" si="391"/>
        <v>294</v>
      </c>
      <c r="AH311" s="5">
        <f t="shared" si="392"/>
        <v>0</v>
      </c>
      <c r="AI311" s="5">
        <f t="shared" si="375"/>
        <v>0</v>
      </c>
      <c r="AJ311" s="5">
        <f t="shared" si="376"/>
        <v>0</v>
      </c>
      <c r="AK311" s="5">
        <f t="shared" si="393"/>
        <v>0</v>
      </c>
      <c r="AL311" s="5">
        <f t="shared" si="394"/>
        <v>0</v>
      </c>
      <c r="AM311" s="199"/>
      <c r="AN311" s="16">
        <f t="shared" si="432"/>
        <v>26</v>
      </c>
      <c r="AO311" s="17">
        <f t="shared" si="429"/>
        <v>6</v>
      </c>
      <c r="AP311" s="18">
        <f t="shared" ca="1" si="402"/>
        <v>53328</v>
      </c>
      <c r="AQ311" s="10">
        <f>IF(Dashboard!$S$20="Float",AQ310+Dashboard!$T$20/12,AQ310)</f>
        <v>4.4999999999999998E-2</v>
      </c>
      <c r="AR311" s="14">
        <f t="shared" si="395"/>
        <v>294</v>
      </c>
      <c r="AS311" s="5">
        <f t="shared" si="396"/>
        <v>1071595.8253988591</v>
      </c>
      <c r="AT311" s="5">
        <f t="shared" si="379"/>
        <v>-18117.071455543854</v>
      </c>
      <c r="AU311" s="5">
        <f t="shared" si="380"/>
        <v>-4018.4843452457212</v>
      </c>
      <c r="AV311" s="5">
        <f t="shared" si="397"/>
        <v>-14098.587110298133</v>
      </c>
      <c r="AW311" s="5">
        <f t="shared" si="398"/>
        <v>1057497.2382885609</v>
      </c>
      <c r="AX311" s="199"/>
    </row>
    <row r="312" spans="1:50">
      <c r="A312" s="73"/>
      <c r="B312" s="572"/>
      <c r="C312" s="16">
        <f t="shared" si="430"/>
        <v>25</v>
      </c>
      <c r="D312" s="17">
        <f t="shared" si="426"/>
        <v>7</v>
      </c>
      <c r="E312" s="18">
        <f t="shared" ca="1" si="399"/>
        <v>53359</v>
      </c>
      <c r="F312" s="10">
        <f>IF(Dashboard!$Q$5="Float",F311+Dashboard!$R$5/12,F311)</f>
        <v>0.04</v>
      </c>
      <c r="G312" s="14">
        <f t="shared" si="381"/>
        <v>295</v>
      </c>
      <c r="H312" s="5">
        <f t="shared" si="382"/>
        <v>1059078.93119488</v>
      </c>
      <c r="I312" s="5">
        <f t="shared" si="367"/>
        <v>-17903.073579954715</v>
      </c>
      <c r="J312" s="5">
        <f t="shared" si="368"/>
        <v>-3530.2631039829334</v>
      </c>
      <c r="K312" s="5">
        <f t="shared" si="383"/>
        <v>-14372.810475971781</v>
      </c>
      <c r="L312" s="5">
        <f t="shared" si="384"/>
        <v>1044706.1207189083</v>
      </c>
      <c r="M312" s="199"/>
      <c r="N312" s="16">
        <f t="shared" ca="1" si="385"/>
        <v>12</v>
      </c>
      <c r="O312" s="508">
        <f t="shared" ca="1" si="369"/>
        <v>143</v>
      </c>
      <c r="P312" s="16">
        <f t="shared" ca="1" si="370"/>
        <v>12</v>
      </c>
      <c r="Q312" s="17">
        <f t="shared" si="427"/>
        <v>7</v>
      </c>
      <c r="R312" s="18">
        <f t="shared" si="400"/>
        <v>48761</v>
      </c>
      <c r="S312" s="10">
        <f t="shared" si="386"/>
        <v>0.04</v>
      </c>
      <c r="T312" s="14">
        <f t="shared" ca="1" si="387"/>
        <v>108</v>
      </c>
      <c r="U312" s="5">
        <f t="shared" ca="1" si="388"/>
        <v>407561.50738767552</v>
      </c>
      <c r="V312" s="5">
        <f t="shared" ca="1" si="371"/>
        <v>-2387.076477327299</v>
      </c>
      <c r="W312" s="5">
        <f t="shared" ca="1" si="372"/>
        <v>-1358.5383579589184</v>
      </c>
      <c r="X312" s="5">
        <f t="shared" ca="1" si="389"/>
        <v>-1028.5381193683806</v>
      </c>
      <c r="Y312" s="5">
        <f t="shared" ca="1" si="390"/>
        <v>406532.96926830715</v>
      </c>
      <c r="Z312" s="199"/>
      <c r="AA312" s="16">
        <f t="shared" ca="1" si="378"/>
        <v>25</v>
      </c>
      <c r="AB312" s="508">
        <f t="shared" ca="1" si="373"/>
        <v>294</v>
      </c>
      <c r="AC312" s="16">
        <f t="shared" si="431"/>
        <v>25</v>
      </c>
      <c r="AD312" s="17">
        <f t="shared" si="428"/>
        <v>7</v>
      </c>
      <c r="AE312" s="18">
        <f t="shared" ca="1" si="401"/>
        <v>53359</v>
      </c>
      <c r="AF312" s="10">
        <f>IF(Dashboard!$R$24="Float",AF311+Dashboard!$R$24/12,AF311)</f>
        <v>0.06</v>
      </c>
      <c r="AG312" s="14">
        <f t="shared" si="391"/>
        <v>295</v>
      </c>
      <c r="AH312" s="5">
        <f t="shared" si="392"/>
        <v>0</v>
      </c>
      <c r="AI312" s="5">
        <f t="shared" si="375"/>
        <v>0</v>
      </c>
      <c r="AJ312" s="5">
        <f t="shared" si="376"/>
        <v>0</v>
      </c>
      <c r="AK312" s="5">
        <f t="shared" si="393"/>
        <v>0</v>
      </c>
      <c r="AL312" s="5">
        <f t="shared" si="394"/>
        <v>0</v>
      </c>
      <c r="AM312" s="199"/>
      <c r="AN312" s="16">
        <f t="shared" si="432"/>
        <v>26</v>
      </c>
      <c r="AO312" s="17">
        <f t="shared" si="429"/>
        <v>7</v>
      </c>
      <c r="AP312" s="18">
        <f t="shared" ca="1" si="402"/>
        <v>53359</v>
      </c>
      <c r="AQ312" s="10">
        <f>IF(Dashboard!$S$20="Float",AQ311+Dashboard!$T$20/12,AQ311)</f>
        <v>4.4999999999999998E-2</v>
      </c>
      <c r="AR312" s="14">
        <f t="shared" si="395"/>
        <v>295</v>
      </c>
      <c r="AS312" s="5">
        <f t="shared" si="396"/>
        <v>1057497.2382885609</v>
      </c>
      <c r="AT312" s="5">
        <f t="shared" si="379"/>
        <v>-18117.07145554385</v>
      </c>
      <c r="AU312" s="5">
        <f t="shared" si="380"/>
        <v>-3965.6146435821029</v>
      </c>
      <c r="AV312" s="5">
        <f t="shared" si="397"/>
        <v>-14151.456811961747</v>
      </c>
      <c r="AW312" s="5">
        <f t="shared" si="398"/>
        <v>1043345.7814765992</v>
      </c>
      <c r="AX312" s="199"/>
    </row>
    <row r="313" spans="1:50">
      <c r="A313" s="73"/>
      <c r="B313" s="572"/>
      <c r="C313" s="16">
        <f t="shared" si="430"/>
        <v>25</v>
      </c>
      <c r="D313" s="17">
        <f t="shared" si="426"/>
        <v>8</v>
      </c>
      <c r="E313" s="18">
        <f t="shared" ca="1" si="399"/>
        <v>53387</v>
      </c>
      <c r="F313" s="10">
        <f>IF(Dashboard!$Q$5="Float",F312+Dashboard!$R$5/12,F312)</f>
        <v>0.04</v>
      </c>
      <c r="G313" s="14">
        <f t="shared" si="381"/>
        <v>296</v>
      </c>
      <c r="H313" s="5">
        <f t="shared" si="382"/>
        <v>1044706.1207189083</v>
      </c>
      <c r="I313" s="5">
        <f t="shared" si="367"/>
        <v>-17903.073579954718</v>
      </c>
      <c r="J313" s="5">
        <f t="shared" si="368"/>
        <v>-3482.3537357296941</v>
      </c>
      <c r="K313" s="5">
        <f t="shared" si="383"/>
        <v>-14420.719844225025</v>
      </c>
      <c r="L313" s="5">
        <f t="shared" si="384"/>
        <v>1030285.4008746833</v>
      </c>
      <c r="M313" s="199"/>
      <c r="N313" s="16">
        <f t="shared" ca="1" si="385"/>
        <v>12</v>
      </c>
      <c r="O313" s="508">
        <f t="shared" ca="1" si="369"/>
        <v>144</v>
      </c>
      <c r="P313" s="16">
        <f t="shared" ca="1" si="370"/>
        <v>13</v>
      </c>
      <c r="Q313" s="17">
        <f t="shared" si="427"/>
        <v>8</v>
      </c>
      <c r="R313" s="18">
        <f t="shared" si="400"/>
        <v>48792</v>
      </c>
      <c r="S313" s="10">
        <f t="shared" si="386"/>
        <v>0.04</v>
      </c>
      <c r="T313" s="14">
        <f t="shared" ca="1" si="387"/>
        <v>109</v>
      </c>
      <c r="U313" s="5">
        <f t="shared" ca="1" si="388"/>
        <v>406532.96926830715</v>
      </c>
      <c r="V313" s="5">
        <f t="shared" ca="1" si="371"/>
        <v>-2387.076477327299</v>
      </c>
      <c r="W313" s="5">
        <f t="shared" ca="1" si="372"/>
        <v>-1355.1098975610239</v>
      </c>
      <c r="X313" s="5">
        <f t="shared" ca="1" si="389"/>
        <v>-1031.9665797662751</v>
      </c>
      <c r="Y313" s="5">
        <f t="shared" ca="1" si="390"/>
        <v>405501.00268854084</v>
      </c>
      <c r="Z313" s="199"/>
      <c r="AA313" s="16">
        <f t="shared" ca="1" si="378"/>
        <v>25</v>
      </c>
      <c r="AB313" s="508">
        <f t="shared" ca="1" si="373"/>
        <v>295</v>
      </c>
      <c r="AC313" s="16">
        <f t="shared" si="431"/>
        <v>25</v>
      </c>
      <c r="AD313" s="17">
        <f t="shared" si="428"/>
        <v>8</v>
      </c>
      <c r="AE313" s="18">
        <f t="shared" ca="1" si="401"/>
        <v>53387</v>
      </c>
      <c r="AF313" s="10">
        <f>IF(Dashboard!$R$24="Float",AF312+Dashboard!$R$24/12,AF312)</f>
        <v>0.06</v>
      </c>
      <c r="AG313" s="14">
        <f t="shared" si="391"/>
        <v>296</v>
      </c>
      <c r="AH313" s="5">
        <f t="shared" si="392"/>
        <v>0</v>
      </c>
      <c r="AI313" s="5">
        <f t="shared" si="375"/>
        <v>0</v>
      </c>
      <c r="AJ313" s="5">
        <f t="shared" si="376"/>
        <v>0</v>
      </c>
      <c r="AK313" s="5">
        <f t="shared" si="393"/>
        <v>0</v>
      </c>
      <c r="AL313" s="5">
        <f t="shared" si="394"/>
        <v>0</v>
      </c>
      <c r="AM313" s="199"/>
      <c r="AN313" s="16">
        <f t="shared" si="432"/>
        <v>26</v>
      </c>
      <c r="AO313" s="17">
        <f t="shared" si="429"/>
        <v>8</v>
      </c>
      <c r="AP313" s="18">
        <f t="shared" ca="1" si="402"/>
        <v>53387</v>
      </c>
      <c r="AQ313" s="10">
        <f>IF(Dashboard!$S$20="Float",AQ312+Dashboard!$T$20/12,AQ312)</f>
        <v>4.4999999999999998E-2</v>
      </c>
      <c r="AR313" s="14">
        <f t="shared" si="395"/>
        <v>296</v>
      </c>
      <c r="AS313" s="5">
        <f t="shared" si="396"/>
        <v>1043345.7814765992</v>
      </c>
      <c r="AT313" s="5">
        <f t="shared" si="379"/>
        <v>-18117.071455543854</v>
      </c>
      <c r="AU313" s="5">
        <f t="shared" si="380"/>
        <v>-3912.5466805372466</v>
      </c>
      <c r="AV313" s="5">
        <f t="shared" si="397"/>
        <v>-14204.524775006606</v>
      </c>
      <c r="AW313" s="5">
        <f t="shared" si="398"/>
        <v>1029141.2567015926</v>
      </c>
      <c r="AX313" s="199"/>
    </row>
    <row r="314" spans="1:50">
      <c r="A314" s="73"/>
      <c r="B314" s="572"/>
      <c r="C314" s="16">
        <f t="shared" si="430"/>
        <v>25</v>
      </c>
      <c r="D314" s="17">
        <f t="shared" si="426"/>
        <v>9</v>
      </c>
      <c r="E314" s="18">
        <f t="shared" ca="1" si="399"/>
        <v>53418</v>
      </c>
      <c r="F314" s="10">
        <f>IF(Dashboard!$Q$5="Float",F313+Dashboard!$R$5/12,F313)</f>
        <v>0.04</v>
      </c>
      <c r="G314" s="14">
        <f t="shared" si="381"/>
        <v>297</v>
      </c>
      <c r="H314" s="5">
        <f t="shared" si="382"/>
        <v>1030285.4008746833</v>
      </c>
      <c r="I314" s="5">
        <f t="shared" si="367"/>
        <v>-17903.073579954718</v>
      </c>
      <c r="J314" s="5">
        <f t="shared" si="368"/>
        <v>-3434.2846695822777</v>
      </c>
      <c r="K314" s="5">
        <f t="shared" si="383"/>
        <v>-14468.788910372441</v>
      </c>
      <c r="L314" s="5">
        <f t="shared" si="384"/>
        <v>1015816.6119643109</v>
      </c>
      <c r="M314" s="199"/>
      <c r="N314" s="16">
        <f t="shared" ca="1" si="385"/>
        <v>13</v>
      </c>
      <c r="O314" s="508">
        <f t="shared" ca="1" si="369"/>
        <v>145</v>
      </c>
      <c r="P314" s="16">
        <f t="shared" ca="1" si="370"/>
        <v>13</v>
      </c>
      <c r="Q314" s="17">
        <f t="shared" si="427"/>
        <v>9</v>
      </c>
      <c r="R314" s="18">
        <f t="shared" si="400"/>
        <v>48823</v>
      </c>
      <c r="S314" s="10">
        <f t="shared" si="386"/>
        <v>0.04</v>
      </c>
      <c r="T314" s="14">
        <f t="shared" ca="1" si="387"/>
        <v>110</v>
      </c>
      <c r="U314" s="5">
        <f t="shared" ca="1" si="388"/>
        <v>405501.00268854084</v>
      </c>
      <c r="V314" s="5">
        <f t="shared" ca="1" si="371"/>
        <v>-2387.076477327299</v>
      </c>
      <c r="W314" s="5">
        <f t="shared" ca="1" si="372"/>
        <v>-1351.6700089618028</v>
      </c>
      <c r="X314" s="5">
        <f t="shared" ca="1" si="389"/>
        <v>-1035.4064683654963</v>
      </c>
      <c r="Y314" s="5">
        <f t="shared" ca="1" si="390"/>
        <v>404465.59622017533</v>
      </c>
      <c r="Z314" s="199"/>
      <c r="AA314" s="16">
        <f t="shared" ca="1" si="378"/>
        <v>25</v>
      </c>
      <c r="AB314" s="508">
        <f t="shared" ca="1" si="373"/>
        <v>296</v>
      </c>
      <c r="AC314" s="16">
        <f t="shared" si="431"/>
        <v>25</v>
      </c>
      <c r="AD314" s="17">
        <f t="shared" si="428"/>
        <v>9</v>
      </c>
      <c r="AE314" s="18">
        <f t="shared" ca="1" si="401"/>
        <v>53418</v>
      </c>
      <c r="AF314" s="10">
        <f>IF(Dashboard!$R$24="Float",AF313+Dashboard!$R$24/12,AF313)</f>
        <v>0.06</v>
      </c>
      <c r="AG314" s="14">
        <f t="shared" si="391"/>
        <v>297</v>
      </c>
      <c r="AH314" s="5">
        <f t="shared" si="392"/>
        <v>0</v>
      </c>
      <c r="AI314" s="5">
        <f t="shared" si="375"/>
        <v>0</v>
      </c>
      <c r="AJ314" s="5">
        <f t="shared" si="376"/>
        <v>0</v>
      </c>
      <c r="AK314" s="5">
        <f t="shared" si="393"/>
        <v>0</v>
      </c>
      <c r="AL314" s="5">
        <f t="shared" si="394"/>
        <v>0</v>
      </c>
      <c r="AM314" s="199"/>
      <c r="AN314" s="16">
        <f t="shared" si="432"/>
        <v>26</v>
      </c>
      <c r="AO314" s="17">
        <f t="shared" si="429"/>
        <v>9</v>
      </c>
      <c r="AP314" s="18">
        <f t="shared" ca="1" si="402"/>
        <v>53418</v>
      </c>
      <c r="AQ314" s="10">
        <f>IF(Dashboard!$S$20="Float",AQ313+Dashboard!$T$20/12,AQ313)</f>
        <v>4.4999999999999998E-2</v>
      </c>
      <c r="AR314" s="14">
        <f t="shared" si="395"/>
        <v>297</v>
      </c>
      <c r="AS314" s="5">
        <f t="shared" si="396"/>
        <v>1029141.2567015926</v>
      </c>
      <c r="AT314" s="5">
        <f t="shared" si="379"/>
        <v>-18117.071455543854</v>
      </c>
      <c r="AU314" s="5">
        <f t="shared" si="380"/>
        <v>-3859.279712630972</v>
      </c>
      <c r="AV314" s="5">
        <f t="shared" si="397"/>
        <v>-14257.791742912881</v>
      </c>
      <c r="AW314" s="5">
        <f t="shared" si="398"/>
        <v>1014883.4649586797</v>
      </c>
      <c r="AX314" s="199"/>
    </row>
    <row r="315" spans="1:50">
      <c r="A315" s="73"/>
      <c r="B315" s="572"/>
      <c r="C315" s="16">
        <f t="shared" si="430"/>
        <v>25</v>
      </c>
      <c r="D315" s="17">
        <f t="shared" si="426"/>
        <v>10</v>
      </c>
      <c r="E315" s="18">
        <f t="shared" ca="1" si="399"/>
        <v>53448</v>
      </c>
      <c r="F315" s="10">
        <f>IF(Dashboard!$Q$5="Float",F314+Dashboard!$R$5/12,F314)</f>
        <v>0.04</v>
      </c>
      <c r="G315" s="14">
        <f t="shared" si="381"/>
        <v>298</v>
      </c>
      <c r="H315" s="5">
        <f t="shared" si="382"/>
        <v>1015816.6119643109</v>
      </c>
      <c r="I315" s="5">
        <f t="shared" si="367"/>
        <v>-17903.073579954718</v>
      </c>
      <c r="J315" s="5">
        <f t="shared" si="368"/>
        <v>-3386.0553732143694</v>
      </c>
      <c r="K315" s="5">
        <f t="shared" si="383"/>
        <v>-14517.018206740349</v>
      </c>
      <c r="L315" s="5">
        <f t="shared" si="384"/>
        <v>1001299.5937575705</v>
      </c>
      <c r="M315" s="199"/>
      <c r="N315" s="16">
        <f t="shared" ca="1" si="385"/>
        <v>13</v>
      </c>
      <c r="O315" s="508">
        <f t="shared" ca="1" si="369"/>
        <v>146</v>
      </c>
      <c r="P315" s="16">
        <f t="shared" ca="1" si="370"/>
        <v>13</v>
      </c>
      <c r="Q315" s="17">
        <f t="shared" si="427"/>
        <v>10</v>
      </c>
      <c r="R315" s="18">
        <f t="shared" si="400"/>
        <v>48853</v>
      </c>
      <c r="S315" s="10">
        <f t="shared" si="386"/>
        <v>0.04</v>
      </c>
      <c r="T315" s="14">
        <f t="shared" ca="1" si="387"/>
        <v>111</v>
      </c>
      <c r="U315" s="5">
        <f t="shared" ca="1" si="388"/>
        <v>404465.59622017533</v>
      </c>
      <c r="V315" s="5">
        <f t="shared" ca="1" si="371"/>
        <v>-2387.076477327299</v>
      </c>
      <c r="W315" s="5">
        <f t="shared" ca="1" si="372"/>
        <v>-1348.2186540672512</v>
      </c>
      <c r="X315" s="5">
        <f t="shared" ca="1" si="389"/>
        <v>-1038.8578232600478</v>
      </c>
      <c r="Y315" s="5">
        <f t="shared" ca="1" si="390"/>
        <v>403426.73839691526</v>
      </c>
      <c r="Z315" s="199"/>
      <c r="AA315" s="16">
        <f t="shared" ca="1" si="378"/>
        <v>25</v>
      </c>
      <c r="AB315" s="508">
        <f t="shared" ca="1" si="373"/>
        <v>297</v>
      </c>
      <c r="AC315" s="16">
        <f t="shared" si="431"/>
        <v>25</v>
      </c>
      <c r="AD315" s="17">
        <f t="shared" si="428"/>
        <v>10</v>
      </c>
      <c r="AE315" s="18">
        <f t="shared" ca="1" si="401"/>
        <v>53448</v>
      </c>
      <c r="AF315" s="10">
        <f>IF(Dashboard!$R$24="Float",AF314+Dashboard!$R$24/12,AF314)</f>
        <v>0.06</v>
      </c>
      <c r="AG315" s="14">
        <f t="shared" si="391"/>
        <v>298</v>
      </c>
      <c r="AH315" s="5">
        <f t="shared" si="392"/>
        <v>0</v>
      </c>
      <c r="AI315" s="5">
        <f t="shared" si="375"/>
        <v>0</v>
      </c>
      <c r="AJ315" s="5">
        <f t="shared" si="376"/>
        <v>0</v>
      </c>
      <c r="AK315" s="5">
        <f t="shared" si="393"/>
        <v>0</v>
      </c>
      <c r="AL315" s="5">
        <f t="shared" si="394"/>
        <v>0</v>
      </c>
      <c r="AM315" s="199"/>
      <c r="AN315" s="16">
        <f t="shared" si="432"/>
        <v>26</v>
      </c>
      <c r="AO315" s="17">
        <f t="shared" si="429"/>
        <v>10</v>
      </c>
      <c r="AP315" s="18">
        <f t="shared" ca="1" si="402"/>
        <v>53448</v>
      </c>
      <c r="AQ315" s="10">
        <f>IF(Dashboard!$S$20="Float",AQ314+Dashboard!$T$20/12,AQ314)</f>
        <v>4.4999999999999998E-2</v>
      </c>
      <c r="AR315" s="14">
        <f t="shared" si="395"/>
        <v>298</v>
      </c>
      <c r="AS315" s="5">
        <f t="shared" si="396"/>
        <v>1014883.4649586797</v>
      </c>
      <c r="AT315" s="5">
        <f t="shared" si="379"/>
        <v>-18117.071455543854</v>
      </c>
      <c r="AU315" s="5">
        <f t="shared" si="380"/>
        <v>-3805.8129935950492</v>
      </c>
      <c r="AV315" s="5">
        <f t="shared" si="397"/>
        <v>-14311.258461948804</v>
      </c>
      <c r="AW315" s="5">
        <f t="shared" si="398"/>
        <v>1000572.2064967309</v>
      </c>
      <c r="AX315" s="199"/>
    </row>
    <row r="316" spans="1:50">
      <c r="A316" s="73"/>
      <c r="B316" s="572"/>
      <c r="C316" s="16">
        <f t="shared" si="430"/>
        <v>25</v>
      </c>
      <c r="D316" s="17">
        <f t="shared" si="426"/>
        <v>11</v>
      </c>
      <c r="E316" s="18">
        <f t="shared" ca="1" si="399"/>
        <v>53479</v>
      </c>
      <c r="F316" s="10">
        <f>IF(Dashboard!$Q$5="Float",F315+Dashboard!$R$5/12,F315)</f>
        <v>0.04</v>
      </c>
      <c r="G316" s="14">
        <f t="shared" si="381"/>
        <v>299</v>
      </c>
      <c r="H316" s="5">
        <f t="shared" si="382"/>
        <v>1001299.5937575705</v>
      </c>
      <c r="I316" s="5">
        <f t="shared" si="367"/>
        <v>-17903.073579954718</v>
      </c>
      <c r="J316" s="5">
        <f t="shared" si="368"/>
        <v>-3337.6653125252346</v>
      </c>
      <c r="K316" s="5">
        <f t="shared" si="383"/>
        <v>-14565.408267429484</v>
      </c>
      <c r="L316" s="5">
        <f t="shared" si="384"/>
        <v>986734.18549014104</v>
      </c>
      <c r="M316" s="199"/>
      <c r="N316" s="16">
        <f t="shared" ca="1" si="385"/>
        <v>13</v>
      </c>
      <c r="O316" s="508">
        <f t="shared" ca="1" si="369"/>
        <v>147</v>
      </c>
      <c r="P316" s="16">
        <f t="shared" ca="1" si="370"/>
        <v>13</v>
      </c>
      <c r="Q316" s="17">
        <f t="shared" si="427"/>
        <v>11</v>
      </c>
      <c r="R316" s="18">
        <f t="shared" si="400"/>
        <v>48884</v>
      </c>
      <c r="S316" s="10">
        <f t="shared" si="386"/>
        <v>0.04</v>
      </c>
      <c r="T316" s="14">
        <f t="shared" ca="1" si="387"/>
        <v>112</v>
      </c>
      <c r="U316" s="5">
        <f t="shared" ca="1" si="388"/>
        <v>403426.73839691526</v>
      </c>
      <c r="V316" s="5">
        <f t="shared" ca="1" si="371"/>
        <v>-2387.076477327299</v>
      </c>
      <c r="W316" s="5">
        <f t="shared" ca="1" si="372"/>
        <v>-1344.7557946563843</v>
      </c>
      <c r="X316" s="5">
        <f t="shared" ca="1" si="389"/>
        <v>-1042.3206826709147</v>
      </c>
      <c r="Y316" s="5">
        <f t="shared" ca="1" si="390"/>
        <v>402384.41771424434</v>
      </c>
      <c r="Z316" s="199"/>
      <c r="AA316" s="16">
        <f t="shared" ca="1" si="378"/>
        <v>25</v>
      </c>
      <c r="AB316" s="508">
        <f t="shared" ca="1" si="373"/>
        <v>298</v>
      </c>
      <c r="AC316" s="16">
        <f t="shared" si="431"/>
        <v>25</v>
      </c>
      <c r="AD316" s="17">
        <f t="shared" si="428"/>
        <v>11</v>
      </c>
      <c r="AE316" s="18">
        <f t="shared" ca="1" si="401"/>
        <v>53479</v>
      </c>
      <c r="AF316" s="10">
        <f>IF(Dashboard!$R$24="Float",AF315+Dashboard!$R$24/12,AF315)</f>
        <v>0.06</v>
      </c>
      <c r="AG316" s="14">
        <f t="shared" si="391"/>
        <v>299</v>
      </c>
      <c r="AH316" s="5">
        <f t="shared" si="392"/>
        <v>0</v>
      </c>
      <c r="AI316" s="5">
        <f t="shared" si="375"/>
        <v>0</v>
      </c>
      <c r="AJ316" s="5">
        <f t="shared" si="376"/>
        <v>0</v>
      </c>
      <c r="AK316" s="5">
        <f t="shared" si="393"/>
        <v>0</v>
      </c>
      <c r="AL316" s="5">
        <f t="shared" si="394"/>
        <v>0</v>
      </c>
      <c r="AM316" s="199"/>
      <c r="AN316" s="16">
        <f t="shared" si="432"/>
        <v>26</v>
      </c>
      <c r="AO316" s="17">
        <f t="shared" si="429"/>
        <v>11</v>
      </c>
      <c r="AP316" s="18">
        <f t="shared" ca="1" si="402"/>
        <v>53479</v>
      </c>
      <c r="AQ316" s="10">
        <f>IF(Dashboard!$S$20="Float",AQ315+Dashboard!$T$20/12,AQ315)</f>
        <v>4.4999999999999998E-2</v>
      </c>
      <c r="AR316" s="14">
        <f t="shared" si="395"/>
        <v>299</v>
      </c>
      <c r="AS316" s="5">
        <f t="shared" si="396"/>
        <v>1000572.2064967309</v>
      </c>
      <c r="AT316" s="5">
        <f t="shared" si="379"/>
        <v>-18117.071455543854</v>
      </c>
      <c r="AU316" s="5">
        <f t="shared" si="380"/>
        <v>-3752.1457743627411</v>
      </c>
      <c r="AV316" s="5">
        <f t="shared" si="397"/>
        <v>-14364.925681181112</v>
      </c>
      <c r="AW316" s="5">
        <f t="shared" si="398"/>
        <v>986207.28081554978</v>
      </c>
      <c r="AX316" s="199"/>
    </row>
    <row r="317" spans="1:50">
      <c r="A317" s="73"/>
      <c r="B317" s="572"/>
      <c r="C317" s="16">
        <f t="shared" si="430"/>
        <v>25</v>
      </c>
      <c r="D317" s="17">
        <f t="shared" si="426"/>
        <v>12</v>
      </c>
      <c r="E317" s="18">
        <f t="shared" ca="1" si="399"/>
        <v>53509</v>
      </c>
      <c r="F317" s="10">
        <f>IF(Dashboard!$Q$5="Float",F316+Dashboard!$R$5/12,F316)</f>
        <v>0.04</v>
      </c>
      <c r="G317" s="14">
        <f t="shared" si="381"/>
        <v>300</v>
      </c>
      <c r="H317" s="5">
        <f t="shared" si="382"/>
        <v>986734.18549014104</v>
      </c>
      <c r="I317" s="5">
        <f t="shared" si="367"/>
        <v>-17903.073579954718</v>
      </c>
      <c r="J317" s="5">
        <f t="shared" si="368"/>
        <v>-3289.1139516338039</v>
      </c>
      <c r="K317" s="5">
        <f t="shared" si="383"/>
        <v>-14613.959628320914</v>
      </c>
      <c r="L317" s="5">
        <f t="shared" si="384"/>
        <v>972120.22586182016</v>
      </c>
      <c r="M317" s="199"/>
      <c r="N317" s="16">
        <f t="shared" ca="1" si="385"/>
        <v>13</v>
      </c>
      <c r="O317" s="508">
        <f t="shared" ca="1" si="369"/>
        <v>148</v>
      </c>
      <c r="P317" s="16">
        <f t="shared" ca="1" si="370"/>
        <v>13</v>
      </c>
      <c r="Q317" s="17">
        <f t="shared" si="427"/>
        <v>12</v>
      </c>
      <c r="R317" s="18">
        <f t="shared" si="400"/>
        <v>48914</v>
      </c>
      <c r="S317" s="10">
        <f t="shared" si="386"/>
        <v>0.04</v>
      </c>
      <c r="T317" s="14">
        <f t="shared" ca="1" si="387"/>
        <v>113</v>
      </c>
      <c r="U317" s="5">
        <f t="shared" ca="1" si="388"/>
        <v>402384.41771424434</v>
      </c>
      <c r="V317" s="5">
        <f t="shared" ca="1" si="371"/>
        <v>-2387.0764773272986</v>
      </c>
      <c r="W317" s="5">
        <f t="shared" ca="1" si="372"/>
        <v>-1341.2813923808146</v>
      </c>
      <c r="X317" s="5">
        <f t="shared" ca="1" si="389"/>
        <v>-1045.7950849464839</v>
      </c>
      <c r="Y317" s="5">
        <f t="shared" ca="1" si="390"/>
        <v>401338.62262929784</v>
      </c>
      <c r="Z317" s="199"/>
      <c r="AA317" s="16">
        <f t="shared" ca="1" si="378"/>
        <v>25</v>
      </c>
      <c r="AB317" s="508">
        <f t="shared" ca="1" si="373"/>
        <v>299</v>
      </c>
      <c r="AC317" s="16">
        <f t="shared" si="431"/>
        <v>25</v>
      </c>
      <c r="AD317" s="17">
        <f t="shared" si="428"/>
        <v>12</v>
      </c>
      <c r="AE317" s="18">
        <f t="shared" ca="1" si="401"/>
        <v>53509</v>
      </c>
      <c r="AF317" s="10">
        <f>IF(Dashboard!$R$24="Float",AF316+Dashboard!$R$24/12,AF316)</f>
        <v>0.06</v>
      </c>
      <c r="AG317" s="14">
        <f t="shared" si="391"/>
        <v>300</v>
      </c>
      <c r="AH317" s="5">
        <f t="shared" si="392"/>
        <v>0</v>
      </c>
      <c r="AI317" s="5">
        <f t="shared" si="375"/>
        <v>0</v>
      </c>
      <c r="AJ317" s="5">
        <f t="shared" si="376"/>
        <v>0</v>
      </c>
      <c r="AK317" s="5">
        <f t="shared" si="393"/>
        <v>0</v>
      </c>
      <c r="AL317" s="5">
        <f t="shared" si="394"/>
        <v>0</v>
      </c>
      <c r="AM317" s="199"/>
      <c r="AN317" s="16">
        <f t="shared" si="432"/>
        <v>26</v>
      </c>
      <c r="AO317" s="17">
        <f t="shared" si="429"/>
        <v>12</v>
      </c>
      <c r="AP317" s="18">
        <f t="shared" ca="1" si="402"/>
        <v>53509</v>
      </c>
      <c r="AQ317" s="10">
        <f>IF(Dashboard!$S$20="Float",AQ316+Dashboard!$T$20/12,AQ316)</f>
        <v>4.4999999999999998E-2</v>
      </c>
      <c r="AR317" s="14">
        <f t="shared" si="395"/>
        <v>300</v>
      </c>
      <c r="AS317" s="5">
        <f t="shared" si="396"/>
        <v>986207.28081554978</v>
      </c>
      <c r="AT317" s="5">
        <f t="shared" si="379"/>
        <v>-18117.071455543854</v>
      </c>
      <c r="AU317" s="5">
        <f t="shared" si="380"/>
        <v>-3698.2773030583116</v>
      </c>
      <c r="AV317" s="5">
        <f t="shared" si="397"/>
        <v>-14418.794152485541</v>
      </c>
      <c r="AW317" s="5">
        <f t="shared" si="398"/>
        <v>971788.48666306422</v>
      </c>
      <c r="AX317" s="199"/>
    </row>
    <row r="318" spans="1:50" ht="12.75" customHeight="1">
      <c r="A318" s="73"/>
      <c r="B318" s="570">
        <f>+C318</f>
        <v>26</v>
      </c>
      <c r="C318" s="200">
        <f t="shared" ref="C318" si="433">+C317+1</f>
        <v>26</v>
      </c>
      <c r="D318" s="201">
        <v>1</v>
      </c>
      <c r="E318" s="202">
        <f t="shared" ca="1" si="399"/>
        <v>53540</v>
      </c>
      <c r="F318" s="203">
        <f>IF(Dashboard!$Q$5="Float",F317+Dashboard!$R$5/12,F317)</f>
        <v>0.04</v>
      </c>
      <c r="G318" s="204">
        <f t="shared" si="381"/>
        <v>301</v>
      </c>
      <c r="H318" s="205">
        <f t="shared" si="382"/>
        <v>972120.22586182016</v>
      </c>
      <c r="I318" s="205">
        <f t="shared" si="367"/>
        <v>-17903.073579954718</v>
      </c>
      <c r="J318" s="205">
        <f t="shared" si="368"/>
        <v>-3240.4007528727338</v>
      </c>
      <c r="K318" s="205">
        <f t="shared" si="383"/>
        <v>-14662.672827081984</v>
      </c>
      <c r="L318" s="205">
        <f t="shared" si="384"/>
        <v>957457.55303473817</v>
      </c>
      <c r="M318" s="199"/>
      <c r="N318" s="200">
        <f t="shared" ca="1" si="385"/>
        <v>13</v>
      </c>
      <c r="O318" s="509">
        <f t="shared" ca="1" si="369"/>
        <v>149</v>
      </c>
      <c r="P318" s="200">
        <f t="shared" ca="1" si="370"/>
        <v>13</v>
      </c>
      <c r="Q318" s="201">
        <v>1</v>
      </c>
      <c r="R318" s="202">
        <f t="shared" si="400"/>
        <v>48945</v>
      </c>
      <c r="S318" s="203">
        <f t="shared" si="386"/>
        <v>0.04</v>
      </c>
      <c r="T318" s="204">
        <f t="shared" ca="1" si="387"/>
        <v>114</v>
      </c>
      <c r="U318" s="205">
        <f t="shared" ca="1" si="388"/>
        <v>401338.62262929784</v>
      </c>
      <c r="V318" s="205">
        <f t="shared" ca="1" si="371"/>
        <v>-2387.0764773272981</v>
      </c>
      <c r="W318" s="205">
        <f t="shared" ca="1" si="372"/>
        <v>-1337.7954087643261</v>
      </c>
      <c r="X318" s="205">
        <f t="shared" ca="1" si="389"/>
        <v>-1049.281068562972</v>
      </c>
      <c r="Y318" s="205">
        <f t="shared" ca="1" si="390"/>
        <v>400289.34156073484</v>
      </c>
      <c r="Z318" s="199"/>
      <c r="AA318" s="200">
        <f t="shared" ca="1" si="378"/>
        <v>25</v>
      </c>
      <c r="AB318" s="509">
        <f t="shared" ca="1" si="373"/>
        <v>300</v>
      </c>
      <c r="AC318" s="200">
        <f t="shared" ref="AC318" si="434">+AC317+1</f>
        <v>26</v>
      </c>
      <c r="AD318" s="201">
        <v>1</v>
      </c>
      <c r="AE318" s="202">
        <f t="shared" ca="1" si="401"/>
        <v>53540</v>
      </c>
      <c r="AF318" s="203">
        <f>IF(Dashboard!$R$24="Float",AF317+Dashboard!$R$24/12,AF317)</f>
        <v>0.06</v>
      </c>
      <c r="AG318" s="204">
        <f t="shared" si="391"/>
        <v>301</v>
      </c>
      <c r="AH318" s="205">
        <f t="shared" si="392"/>
        <v>0</v>
      </c>
      <c r="AI318" s="205">
        <f t="shared" si="375"/>
        <v>0</v>
      </c>
      <c r="AJ318" s="205">
        <f t="shared" si="376"/>
        <v>0</v>
      </c>
      <c r="AK318" s="205">
        <f t="shared" si="393"/>
        <v>0</v>
      </c>
      <c r="AL318" s="205">
        <f t="shared" si="394"/>
        <v>0</v>
      </c>
      <c r="AM318" s="199"/>
      <c r="AN318" s="200">
        <f t="shared" ref="AN318" si="435">+AN317+1</f>
        <v>27</v>
      </c>
      <c r="AO318" s="201">
        <v>1</v>
      </c>
      <c r="AP318" s="202">
        <f t="shared" ca="1" si="402"/>
        <v>53540</v>
      </c>
      <c r="AQ318" s="203">
        <f>IF(Dashboard!$S$20="Float",AQ317+Dashboard!$T$20/12,AQ317)</f>
        <v>4.4999999999999998E-2</v>
      </c>
      <c r="AR318" s="204">
        <f t="shared" si="395"/>
        <v>301</v>
      </c>
      <c r="AS318" s="205">
        <f t="shared" si="396"/>
        <v>971788.48666306422</v>
      </c>
      <c r="AT318" s="205">
        <f t="shared" si="379"/>
        <v>-18117.07145554385</v>
      </c>
      <c r="AU318" s="205">
        <f t="shared" si="380"/>
        <v>-3644.206824986491</v>
      </c>
      <c r="AV318" s="205">
        <f t="shared" si="397"/>
        <v>-14472.864630557358</v>
      </c>
      <c r="AW318" s="205">
        <f t="shared" si="398"/>
        <v>957315.62203250686</v>
      </c>
      <c r="AX318" s="199"/>
    </row>
    <row r="319" spans="1:50">
      <c r="A319" s="73"/>
      <c r="B319" s="570"/>
      <c r="C319" s="200">
        <f>+C318</f>
        <v>26</v>
      </c>
      <c r="D319" s="201">
        <f>+D318+1</f>
        <v>2</v>
      </c>
      <c r="E319" s="202">
        <f t="shared" ca="1" si="399"/>
        <v>53571</v>
      </c>
      <c r="F319" s="203">
        <f>IF(Dashboard!$Q$5="Float",F318+Dashboard!$R$5/12,F318)</f>
        <v>0.04</v>
      </c>
      <c r="G319" s="204">
        <f t="shared" si="381"/>
        <v>302</v>
      </c>
      <c r="H319" s="205">
        <f t="shared" si="382"/>
        <v>957457.55303473817</v>
      </c>
      <c r="I319" s="205">
        <f t="shared" si="367"/>
        <v>-17903.073579954722</v>
      </c>
      <c r="J319" s="205">
        <f t="shared" si="368"/>
        <v>-3191.5251767824607</v>
      </c>
      <c r="K319" s="205">
        <f t="shared" si="383"/>
        <v>-14711.548403172261</v>
      </c>
      <c r="L319" s="205">
        <f t="shared" si="384"/>
        <v>942746.00463156588</v>
      </c>
      <c r="M319" s="199"/>
      <c r="N319" s="200">
        <f t="shared" ca="1" si="385"/>
        <v>13</v>
      </c>
      <c r="O319" s="509">
        <f t="shared" ca="1" si="369"/>
        <v>150</v>
      </c>
      <c r="P319" s="200">
        <f t="shared" ca="1" si="370"/>
        <v>13</v>
      </c>
      <c r="Q319" s="201">
        <f>+Q318+1</f>
        <v>2</v>
      </c>
      <c r="R319" s="202">
        <f t="shared" si="400"/>
        <v>48976</v>
      </c>
      <c r="S319" s="203">
        <f t="shared" si="386"/>
        <v>0.04</v>
      </c>
      <c r="T319" s="204">
        <f t="shared" ca="1" si="387"/>
        <v>115</v>
      </c>
      <c r="U319" s="205">
        <f t="shared" ca="1" si="388"/>
        <v>400289.34156073484</v>
      </c>
      <c r="V319" s="205">
        <f t="shared" ca="1" si="371"/>
        <v>-2387.0764773272981</v>
      </c>
      <c r="W319" s="205">
        <f t="shared" ca="1" si="372"/>
        <v>-1334.2978052024496</v>
      </c>
      <c r="X319" s="205">
        <f t="shared" ca="1" si="389"/>
        <v>-1052.7786721248485</v>
      </c>
      <c r="Y319" s="205">
        <f t="shared" ca="1" si="390"/>
        <v>399236.56288861</v>
      </c>
      <c r="Z319" s="199"/>
      <c r="AA319" s="200">
        <f t="shared" ca="1" si="378"/>
        <v>26</v>
      </c>
      <c r="AB319" s="509">
        <f t="shared" ca="1" si="373"/>
        <v>301</v>
      </c>
      <c r="AC319" s="200">
        <f>+AC318</f>
        <v>26</v>
      </c>
      <c r="AD319" s="201">
        <f>+AD318+1</f>
        <v>2</v>
      </c>
      <c r="AE319" s="202">
        <f t="shared" ca="1" si="401"/>
        <v>53571</v>
      </c>
      <c r="AF319" s="203">
        <f>IF(Dashboard!$R$24="Float",AF318+Dashboard!$R$24/12,AF318)</f>
        <v>0.06</v>
      </c>
      <c r="AG319" s="204">
        <f t="shared" si="391"/>
        <v>302</v>
      </c>
      <c r="AH319" s="205">
        <f t="shared" si="392"/>
        <v>0</v>
      </c>
      <c r="AI319" s="205">
        <f t="shared" si="375"/>
        <v>0</v>
      </c>
      <c r="AJ319" s="205">
        <f t="shared" si="376"/>
        <v>0</v>
      </c>
      <c r="AK319" s="205">
        <f t="shared" si="393"/>
        <v>0</v>
      </c>
      <c r="AL319" s="205">
        <f t="shared" si="394"/>
        <v>0</v>
      </c>
      <c r="AM319" s="199"/>
      <c r="AN319" s="200">
        <f>+AN318</f>
        <v>27</v>
      </c>
      <c r="AO319" s="201">
        <f>+AO318+1</f>
        <v>2</v>
      </c>
      <c r="AP319" s="202">
        <f t="shared" ca="1" si="402"/>
        <v>53571</v>
      </c>
      <c r="AQ319" s="203">
        <f>IF(Dashboard!$S$20="Float",AQ318+Dashboard!$T$20/12,AQ318)</f>
        <v>4.4999999999999998E-2</v>
      </c>
      <c r="AR319" s="204">
        <f t="shared" si="395"/>
        <v>302</v>
      </c>
      <c r="AS319" s="205">
        <f t="shared" si="396"/>
        <v>957315.62203250686</v>
      </c>
      <c r="AT319" s="205">
        <f t="shared" si="379"/>
        <v>-18117.07145554385</v>
      </c>
      <c r="AU319" s="205">
        <f t="shared" si="380"/>
        <v>-3589.9335826219008</v>
      </c>
      <c r="AV319" s="205">
        <f t="shared" si="397"/>
        <v>-14527.137872921949</v>
      </c>
      <c r="AW319" s="205">
        <f t="shared" si="398"/>
        <v>942788.48415958486</v>
      </c>
      <c r="AX319" s="199"/>
    </row>
    <row r="320" spans="1:50">
      <c r="A320" s="73"/>
      <c r="B320" s="570"/>
      <c r="C320" s="200">
        <f>+C319</f>
        <v>26</v>
      </c>
      <c r="D320" s="201">
        <f>+D319+1</f>
        <v>3</v>
      </c>
      <c r="E320" s="202">
        <f t="shared" ca="1" si="399"/>
        <v>53601</v>
      </c>
      <c r="F320" s="203">
        <f>IF(Dashboard!$Q$5="Float",F319+Dashboard!$R$5/12,F319)</f>
        <v>0.04</v>
      </c>
      <c r="G320" s="204">
        <f t="shared" si="381"/>
        <v>303</v>
      </c>
      <c r="H320" s="205">
        <f t="shared" si="382"/>
        <v>942746.00463156588</v>
      </c>
      <c r="I320" s="205">
        <f t="shared" si="367"/>
        <v>-17903.073579954718</v>
      </c>
      <c r="J320" s="205">
        <f t="shared" si="368"/>
        <v>-3142.4866821052196</v>
      </c>
      <c r="K320" s="205">
        <f t="shared" si="383"/>
        <v>-14760.586897849498</v>
      </c>
      <c r="L320" s="205">
        <f t="shared" si="384"/>
        <v>927985.41773371643</v>
      </c>
      <c r="M320" s="199"/>
      <c r="N320" s="200">
        <f t="shared" ca="1" si="385"/>
        <v>13</v>
      </c>
      <c r="O320" s="509">
        <f t="shared" ca="1" si="369"/>
        <v>151</v>
      </c>
      <c r="P320" s="200">
        <f t="shared" ca="1" si="370"/>
        <v>13</v>
      </c>
      <c r="Q320" s="201">
        <f>+Q319+1</f>
        <v>3</v>
      </c>
      <c r="R320" s="202">
        <f t="shared" si="400"/>
        <v>49004</v>
      </c>
      <c r="S320" s="203">
        <f t="shared" si="386"/>
        <v>0.04</v>
      </c>
      <c r="T320" s="204">
        <f t="shared" ca="1" si="387"/>
        <v>116</v>
      </c>
      <c r="U320" s="205">
        <f t="shared" ca="1" si="388"/>
        <v>399236.56288861</v>
      </c>
      <c r="V320" s="205">
        <f t="shared" ca="1" si="371"/>
        <v>-2387.0764773272981</v>
      </c>
      <c r="W320" s="205">
        <f t="shared" ca="1" si="372"/>
        <v>-1330.7885429620335</v>
      </c>
      <c r="X320" s="205">
        <f t="shared" ca="1" si="389"/>
        <v>-1056.2879343652646</v>
      </c>
      <c r="Y320" s="205">
        <f t="shared" ca="1" si="390"/>
        <v>398180.27495424473</v>
      </c>
      <c r="Z320" s="199"/>
      <c r="AA320" s="200">
        <f t="shared" ca="1" si="378"/>
        <v>26</v>
      </c>
      <c r="AB320" s="509">
        <f t="shared" ca="1" si="373"/>
        <v>302</v>
      </c>
      <c r="AC320" s="200">
        <f>+AC319</f>
        <v>26</v>
      </c>
      <c r="AD320" s="201">
        <f>+AD319+1</f>
        <v>3</v>
      </c>
      <c r="AE320" s="202">
        <f t="shared" ca="1" si="401"/>
        <v>53601</v>
      </c>
      <c r="AF320" s="203">
        <f>IF(Dashboard!$R$24="Float",AF319+Dashboard!$R$24/12,AF319)</f>
        <v>0.06</v>
      </c>
      <c r="AG320" s="204">
        <f t="shared" si="391"/>
        <v>303</v>
      </c>
      <c r="AH320" s="205">
        <f t="shared" si="392"/>
        <v>0</v>
      </c>
      <c r="AI320" s="205">
        <f t="shared" si="375"/>
        <v>0</v>
      </c>
      <c r="AJ320" s="205">
        <f t="shared" si="376"/>
        <v>0</v>
      </c>
      <c r="AK320" s="205">
        <f t="shared" si="393"/>
        <v>0</v>
      </c>
      <c r="AL320" s="205">
        <f t="shared" si="394"/>
        <v>0</v>
      </c>
      <c r="AM320" s="199"/>
      <c r="AN320" s="200">
        <f>+AN319</f>
        <v>27</v>
      </c>
      <c r="AO320" s="201">
        <f>+AO319+1</f>
        <v>3</v>
      </c>
      <c r="AP320" s="202">
        <f t="shared" ca="1" si="402"/>
        <v>53601</v>
      </c>
      <c r="AQ320" s="203">
        <f>IF(Dashboard!$S$20="Float",AQ319+Dashboard!$T$20/12,AQ319)</f>
        <v>4.4999999999999998E-2</v>
      </c>
      <c r="AR320" s="204">
        <f t="shared" si="395"/>
        <v>303</v>
      </c>
      <c r="AS320" s="205">
        <f t="shared" si="396"/>
        <v>942788.48415958486</v>
      </c>
      <c r="AT320" s="205">
        <f t="shared" si="379"/>
        <v>-18117.07145554385</v>
      </c>
      <c r="AU320" s="205">
        <f t="shared" si="380"/>
        <v>-3535.456815598443</v>
      </c>
      <c r="AV320" s="205">
        <f t="shared" si="397"/>
        <v>-14581.614639945406</v>
      </c>
      <c r="AW320" s="205">
        <f t="shared" si="398"/>
        <v>928206.86951963941</v>
      </c>
      <c r="AX320" s="199"/>
    </row>
    <row r="321" spans="1:50">
      <c r="A321" s="73"/>
      <c r="B321" s="570"/>
      <c r="C321" s="200">
        <f>+C320</f>
        <v>26</v>
      </c>
      <c r="D321" s="201">
        <f t="shared" ref="D321:D329" si="436">+D320+1</f>
        <v>4</v>
      </c>
      <c r="E321" s="202">
        <f t="shared" ca="1" si="399"/>
        <v>53632</v>
      </c>
      <c r="F321" s="203">
        <f>IF(Dashboard!$Q$5="Float",F320+Dashboard!$R$5/12,F320)</f>
        <v>0.04</v>
      </c>
      <c r="G321" s="204">
        <f t="shared" si="381"/>
        <v>304</v>
      </c>
      <c r="H321" s="205">
        <f t="shared" si="382"/>
        <v>927985.41773371643</v>
      </c>
      <c r="I321" s="205">
        <f t="shared" si="367"/>
        <v>-17903.073579954722</v>
      </c>
      <c r="J321" s="205">
        <f t="shared" si="368"/>
        <v>-3093.284725779055</v>
      </c>
      <c r="K321" s="205">
        <f t="shared" si="383"/>
        <v>-14809.788854175667</v>
      </c>
      <c r="L321" s="205">
        <f t="shared" si="384"/>
        <v>913175.62887954072</v>
      </c>
      <c r="M321" s="199"/>
      <c r="N321" s="200">
        <f t="shared" ca="1" si="385"/>
        <v>13</v>
      </c>
      <c r="O321" s="509">
        <f t="shared" ca="1" si="369"/>
        <v>152</v>
      </c>
      <c r="P321" s="200">
        <f t="shared" ca="1" si="370"/>
        <v>13</v>
      </c>
      <c r="Q321" s="201">
        <f t="shared" ref="Q321:Q329" si="437">+Q320+1</f>
        <v>4</v>
      </c>
      <c r="R321" s="202">
        <f t="shared" si="400"/>
        <v>49035</v>
      </c>
      <c r="S321" s="203">
        <f t="shared" si="386"/>
        <v>0.04</v>
      </c>
      <c r="T321" s="204">
        <f t="shared" ca="1" si="387"/>
        <v>117</v>
      </c>
      <c r="U321" s="205">
        <f t="shared" ca="1" si="388"/>
        <v>398180.27495424473</v>
      </c>
      <c r="V321" s="205">
        <f t="shared" ca="1" si="371"/>
        <v>-2387.0764773272981</v>
      </c>
      <c r="W321" s="205">
        <f t="shared" ca="1" si="372"/>
        <v>-1327.2675831808158</v>
      </c>
      <c r="X321" s="205">
        <f t="shared" ca="1" si="389"/>
        <v>-1059.8088941464823</v>
      </c>
      <c r="Y321" s="205">
        <f t="shared" ca="1" si="390"/>
        <v>397120.46606009826</v>
      </c>
      <c r="Z321" s="199"/>
      <c r="AA321" s="200">
        <f t="shared" ca="1" si="378"/>
        <v>26</v>
      </c>
      <c r="AB321" s="509">
        <f t="shared" ca="1" si="373"/>
        <v>303</v>
      </c>
      <c r="AC321" s="200">
        <f>+AC320</f>
        <v>26</v>
      </c>
      <c r="AD321" s="201">
        <f t="shared" ref="AD321:AD329" si="438">+AD320+1</f>
        <v>4</v>
      </c>
      <c r="AE321" s="202">
        <f t="shared" ca="1" si="401"/>
        <v>53632</v>
      </c>
      <c r="AF321" s="203">
        <f>IF(Dashboard!$R$24="Float",AF320+Dashboard!$R$24/12,AF320)</f>
        <v>0.06</v>
      </c>
      <c r="AG321" s="204">
        <f t="shared" si="391"/>
        <v>304</v>
      </c>
      <c r="AH321" s="205">
        <f t="shared" si="392"/>
        <v>0</v>
      </c>
      <c r="AI321" s="205">
        <f t="shared" si="375"/>
        <v>0</v>
      </c>
      <c r="AJ321" s="205">
        <f t="shared" si="376"/>
        <v>0</v>
      </c>
      <c r="AK321" s="205">
        <f t="shared" si="393"/>
        <v>0</v>
      </c>
      <c r="AL321" s="205">
        <f t="shared" si="394"/>
        <v>0</v>
      </c>
      <c r="AM321" s="199"/>
      <c r="AN321" s="200">
        <f>+AN320</f>
        <v>27</v>
      </c>
      <c r="AO321" s="201">
        <f t="shared" ref="AO321:AO329" si="439">+AO320+1</f>
        <v>4</v>
      </c>
      <c r="AP321" s="202">
        <f t="shared" ca="1" si="402"/>
        <v>53632</v>
      </c>
      <c r="AQ321" s="203">
        <f>IF(Dashboard!$S$20="Float",AQ320+Dashboard!$T$20/12,AQ320)</f>
        <v>4.4999999999999998E-2</v>
      </c>
      <c r="AR321" s="204">
        <f t="shared" si="395"/>
        <v>304</v>
      </c>
      <c r="AS321" s="205">
        <f t="shared" si="396"/>
        <v>928206.86951963941</v>
      </c>
      <c r="AT321" s="205">
        <f t="shared" si="379"/>
        <v>-18117.071455543846</v>
      </c>
      <c r="AU321" s="205">
        <f t="shared" si="380"/>
        <v>-3480.7757606986474</v>
      </c>
      <c r="AV321" s="205">
        <f t="shared" si="397"/>
        <v>-14636.295694845199</v>
      </c>
      <c r="AW321" s="205">
        <f t="shared" si="398"/>
        <v>913570.57382479426</v>
      </c>
      <c r="AX321" s="199"/>
    </row>
    <row r="322" spans="1:50">
      <c r="A322" s="73"/>
      <c r="B322" s="570"/>
      <c r="C322" s="200">
        <f t="shared" ref="C322:C329" si="440">+C321</f>
        <v>26</v>
      </c>
      <c r="D322" s="201">
        <f t="shared" si="436"/>
        <v>5</v>
      </c>
      <c r="E322" s="202">
        <f t="shared" ca="1" si="399"/>
        <v>53662</v>
      </c>
      <c r="F322" s="203">
        <f>IF(Dashboard!$Q$5="Float",F321+Dashboard!$R$5/12,F321)</f>
        <v>0.04</v>
      </c>
      <c r="G322" s="204">
        <f t="shared" si="381"/>
        <v>305</v>
      </c>
      <c r="H322" s="205">
        <f t="shared" si="382"/>
        <v>913175.62887954072</v>
      </c>
      <c r="I322" s="205">
        <f t="shared" si="367"/>
        <v>-17903.073579954722</v>
      </c>
      <c r="J322" s="205">
        <f t="shared" si="368"/>
        <v>-3043.9187629318026</v>
      </c>
      <c r="K322" s="205">
        <f t="shared" si="383"/>
        <v>-14859.15481702292</v>
      </c>
      <c r="L322" s="205">
        <f t="shared" si="384"/>
        <v>898316.47406251775</v>
      </c>
      <c r="M322" s="199"/>
      <c r="N322" s="200">
        <f t="shared" ca="1" si="385"/>
        <v>13</v>
      </c>
      <c r="O322" s="509">
        <f t="shared" ca="1" si="369"/>
        <v>153</v>
      </c>
      <c r="P322" s="200">
        <f t="shared" ca="1" si="370"/>
        <v>13</v>
      </c>
      <c r="Q322" s="201">
        <f t="shared" si="437"/>
        <v>5</v>
      </c>
      <c r="R322" s="202">
        <f t="shared" si="400"/>
        <v>49065</v>
      </c>
      <c r="S322" s="203">
        <f t="shared" si="386"/>
        <v>0.04</v>
      </c>
      <c r="T322" s="204">
        <f t="shared" ca="1" si="387"/>
        <v>118</v>
      </c>
      <c r="U322" s="205">
        <f t="shared" ca="1" si="388"/>
        <v>397120.46606009826</v>
      </c>
      <c r="V322" s="205">
        <f t="shared" ca="1" si="371"/>
        <v>-2387.0764773272986</v>
      </c>
      <c r="W322" s="205">
        <f t="shared" ca="1" si="372"/>
        <v>-1323.7348868669942</v>
      </c>
      <c r="X322" s="205">
        <f t="shared" ca="1" si="389"/>
        <v>-1063.3415904603044</v>
      </c>
      <c r="Y322" s="205">
        <f t="shared" ca="1" si="390"/>
        <v>396057.12446963793</v>
      </c>
      <c r="Z322" s="199"/>
      <c r="AA322" s="200">
        <f t="shared" ca="1" si="378"/>
        <v>26</v>
      </c>
      <c r="AB322" s="509">
        <f t="shared" ca="1" si="373"/>
        <v>304</v>
      </c>
      <c r="AC322" s="200">
        <f t="shared" ref="AC322:AC329" si="441">+AC321</f>
        <v>26</v>
      </c>
      <c r="AD322" s="201">
        <f t="shared" si="438"/>
        <v>5</v>
      </c>
      <c r="AE322" s="202">
        <f t="shared" ca="1" si="401"/>
        <v>53662</v>
      </c>
      <c r="AF322" s="203">
        <f>IF(Dashboard!$R$24="Float",AF321+Dashboard!$R$24/12,AF321)</f>
        <v>0.06</v>
      </c>
      <c r="AG322" s="204">
        <f t="shared" si="391"/>
        <v>305</v>
      </c>
      <c r="AH322" s="205">
        <f t="shared" si="392"/>
        <v>0</v>
      </c>
      <c r="AI322" s="205">
        <f t="shared" si="375"/>
        <v>0</v>
      </c>
      <c r="AJ322" s="205">
        <f t="shared" si="376"/>
        <v>0</v>
      </c>
      <c r="AK322" s="205">
        <f t="shared" si="393"/>
        <v>0</v>
      </c>
      <c r="AL322" s="205">
        <f t="shared" si="394"/>
        <v>0</v>
      </c>
      <c r="AM322" s="199"/>
      <c r="AN322" s="200">
        <f t="shared" ref="AN322:AN329" si="442">+AN321</f>
        <v>27</v>
      </c>
      <c r="AO322" s="201">
        <f t="shared" si="439"/>
        <v>5</v>
      </c>
      <c r="AP322" s="202">
        <f t="shared" ca="1" si="402"/>
        <v>53662</v>
      </c>
      <c r="AQ322" s="203">
        <f>IF(Dashboard!$S$20="Float",AQ321+Dashboard!$T$20/12,AQ321)</f>
        <v>4.4999999999999998E-2</v>
      </c>
      <c r="AR322" s="204">
        <f t="shared" si="395"/>
        <v>305</v>
      </c>
      <c r="AS322" s="205">
        <f t="shared" si="396"/>
        <v>913570.57382479426</v>
      </c>
      <c r="AT322" s="205">
        <f t="shared" si="379"/>
        <v>-18117.07145554385</v>
      </c>
      <c r="AU322" s="205">
        <f t="shared" si="380"/>
        <v>-3425.8896518429788</v>
      </c>
      <c r="AV322" s="205">
        <f t="shared" si="397"/>
        <v>-14691.181803700871</v>
      </c>
      <c r="AW322" s="205">
        <f t="shared" si="398"/>
        <v>898879.3920210934</v>
      </c>
      <c r="AX322" s="199"/>
    </row>
    <row r="323" spans="1:50">
      <c r="A323" s="73"/>
      <c r="B323" s="570"/>
      <c r="C323" s="200">
        <f t="shared" si="440"/>
        <v>26</v>
      </c>
      <c r="D323" s="201">
        <f t="shared" si="436"/>
        <v>6</v>
      </c>
      <c r="E323" s="202">
        <f t="shared" ca="1" si="399"/>
        <v>53693</v>
      </c>
      <c r="F323" s="203">
        <f>IF(Dashboard!$Q$5="Float",F322+Dashboard!$R$5/12,F322)</f>
        <v>0.04</v>
      </c>
      <c r="G323" s="204">
        <f t="shared" si="381"/>
        <v>306</v>
      </c>
      <c r="H323" s="205">
        <f t="shared" si="382"/>
        <v>898316.47406251775</v>
      </c>
      <c r="I323" s="205">
        <f t="shared" si="367"/>
        <v>-17903.073579954715</v>
      </c>
      <c r="J323" s="205">
        <f t="shared" si="368"/>
        <v>-2994.3882468750594</v>
      </c>
      <c r="K323" s="205">
        <f t="shared" si="383"/>
        <v>-14908.685333079655</v>
      </c>
      <c r="L323" s="205">
        <f t="shared" si="384"/>
        <v>883407.78872943809</v>
      </c>
      <c r="M323" s="199"/>
      <c r="N323" s="200">
        <f t="shared" ca="1" si="385"/>
        <v>13</v>
      </c>
      <c r="O323" s="509">
        <f t="shared" ca="1" si="369"/>
        <v>154</v>
      </c>
      <c r="P323" s="200">
        <f t="shared" ca="1" si="370"/>
        <v>13</v>
      </c>
      <c r="Q323" s="201">
        <f t="shared" si="437"/>
        <v>6</v>
      </c>
      <c r="R323" s="202">
        <f t="shared" si="400"/>
        <v>49096</v>
      </c>
      <c r="S323" s="203">
        <f t="shared" si="386"/>
        <v>0.04</v>
      </c>
      <c r="T323" s="204">
        <f t="shared" ca="1" si="387"/>
        <v>119</v>
      </c>
      <c r="U323" s="205">
        <f t="shared" ca="1" si="388"/>
        <v>396057.12446963793</v>
      </c>
      <c r="V323" s="205">
        <f t="shared" ca="1" si="371"/>
        <v>-2387.0764773272986</v>
      </c>
      <c r="W323" s="205">
        <f t="shared" ca="1" si="372"/>
        <v>-1320.1904148987931</v>
      </c>
      <c r="X323" s="205">
        <f t="shared" ca="1" si="389"/>
        <v>-1066.8860624285055</v>
      </c>
      <c r="Y323" s="205">
        <f t="shared" ca="1" si="390"/>
        <v>394990.2384072094</v>
      </c>
      <c r="Z323" s="199"/>
      <c r="AA323" s="200">
        <f t="shared" ca="1" si="378"/>
        <v>26</v>
      </c>
      <c r="AB323" s="509">
        <f t="shared" ca="1" si="373"/>
        <v>305</v>
      </c>
      <c r="AC323" s="200">
        <f t="shared" si="441"/>
        <v>26</v>
      </c>
      <c r="AD323" s="201">
        <f t="shared" si="438"/>
        <v>6</v>
      </c>
      <c r="AE323" s="202">
        <f t="shared" ca="1" si="401"/>
        <v>53693</v>
      </c>
      <c r="AF323" s="203">
        <f>IF(Dashboard!$R$24="Float",AF322+Dashboard!$R$24/12,AF322)</f>
        <v>0.06</v>
      </c>
      <c r="AG323" s="204">
        <f t="shared" si="391"/>
        <v>306</v>
      </c>
      <c r="AH323" s="205">
        <f t="shared" si="392"/>
        <v>0</v>
      </c>
      <c r="AI323" s="205">
        <f t="shared" si="375"/>
        <v>0</v>
      </c>
      <c r="AJ323" s="205">
        <f t="shared" si="376"/>
        <v>0</v>
      </c>
      <c r="AK323" s="205">
        <f t="shared" si="393"/>
        <v>0</v>
      </c>
      <c r="AL323" s="205">
        <f t="shared" si="394"/>
        <v>0</v>
      </c>
      <c r="AM323" s="199"/>
      <c r="AN323" s="200">
        <f t="shared" si="442"/>
        <v>27</v>
      </c>
      <c r="AO323" s="201">
        <f t="shared" si="439"/>
        <v>6</v>
      </c>
      <c r="AP323" s="202">
        <f t="shared" ca="1" si="402"/>
        <v>53693</v>
      </c>
      <c r="AQ323" s="203">
        <f>IF(Dashboard!$S$20="Float",AQ322+Dashboard!$T$20/12,AQ322)</f>
        <v>4.4999999999999998E-2</v>
      </c>
      <c r="AR323" s="204">
        <f t="shared" si="395"/>
        <v>306</v>
      </c>
      <c r="AS323" s="205">
        <f t="shared" si="396"/>
        <v>898879.3920210934</v>
      </c>
      <c r="AT323" s="205">
        <f t="shared" si="379"/>
        <v>-18117.07145554385</v>
      </c>
      <c r="AU323" s="205">
        <f t="shared" si="380"/>
        <v>-3370.7977200790997</v>
      </c>
      <c r="AV323" s="205">
        <f t="shared" si="397"/>
        <v>-14746.273735464751</v>
      </c>
      <c r="AW323" s="205">
        <f t="shared" si="398"/>
        <v>884133.11828562862</v>
      </c>
      <c r="AX323" s="199"/>
    </row>
    <row r="324" spans="1:50">
      <c r="A324" s="73"/>
      <c r="B324" s="570"/>
      <c r="C324" s="200">
        <f t="shared" si="440"/>
        <v>26</v>
      </c>
      <c r="D324" s="201">
        <f t="shared" si="436"/>
        <v>7</v>
      </c>
      <c r="E324" s="202">
        <f t="shared" ca="1" si="399"/>
        <v>53724</v>
      </c>
      <c r="F324" s="203">
        <f>IF(Dashboard!$Q$5="Float",F323+Dashboard!$R$5/12,F323)</f>
        <v>0.04</v>
      </c>
      <c r="G324" s="204">
        <f t="shared" si="381"/>
        <v>307</v>
      </c>
      <c r="H324" s="205">
        <f t="shared" si="382"/>
        <v>883407.78872943809</v>
      </c>
      <c r="I324" s="205">
        <f t="shared" si="367"/>
        <v>-17903.073579954718</v>
      </c>
      <c r="J324" s="205">
        <f t="shared" si="368"/>
        <v>-2944.6926290981269</v>
      </c>
      <c r="K324" s="205">
        <f t="shared" si="383"/>
        <v>-14958.380950856592</v>
      </c>
      <c r="L324" s="205">
        <f t="shared" si="384"/>
        <v>868449.40777858149</v>
      </c>
      <c r="M324" s="199"/>
      <c r="N324" s="200">
        <f t="shared" ca="1" si="385"/>
        <v>13</v>
      </c>
      <c r="O324" s="509">
        <f t="shared" ca="1" si="369"/>
        <v>155</v>
      </c>
      <c r="P324" s="200">
        <f t="shared" ca="1" si="370"/>
        <v>13</v>
      </c>
      <c r="Q324" s="201">
        <f t="shared" si="437"/>
        <v>7</v>
      </c>
      <c r="R324" s="202">
        <f t="shared" si="400"/>
        <v>49126</v>
      </c>
      <c r="S324" s="203">
        <f t="shared" si="386"/>
        <v>0.04</v>
      </c>
      <c r="T324" s="204">
        <f t="shared" ca="1" si="387"/>
        <v>120</v>
      </c>
      <c r="U324" s="205">
        <f t="shared" ca="1" si="388"/>
        <v>394990.2384072094</v>
      </c>
      <c r="V324" s="205">
        <f t="shared" ca="1" si="371"/>
        <v>-2387.0764773272981</v>
      </c>
      <c r="W324" s="205">
        <f t="shared" ca="1" si="372"/>
        <v>-1316.6341280240315</v>
      </c>
      <c r="X324" s="205">
        <f t="shared" ca="1" si="389"/>
        <v>-1070.4423493032666</v>
      </c>
      <c r="Y324" s="205">
        <f t="shared" ca="1" si="390"/>
        <v>393919.79605790612</v>
      </c>
      <c r="Z324" s="199"/>
      <c r="AA324" s="200">
        <f t="shared" ca="1" si="378"/>
        <v>26</v>
      </c>
      <c r="AB324" s="509">
        <f t="shared" ca="1" si="373"/>
        <v>306</v>
      </c>
      <c r="AC324" s="200">
        <f t="shared" si="441"/>
        <v>26</v>
      </c>
      <c r="AD324" s="201">
        <f t="shared" si="438"/>
        <v>7</v>
      </c>
      <c r="AE324" s="202">
        <f t="shared" ca="1" si="401"/>
        <v>53724</v>
      </c>
      <c r="AF324" s="203">
        <f>IF(Dashboard!$R$24="Float",AF323+Dashboard!$R$24/12,AF323)</f>
        <v>0.06</v>
      </c>
      <c r="AG324" s="204">
        <f t="shared" si="391"/>
        <v>307</v>
      </c>
      <c r="AH324" s="205">
        <f t="shared" si="392"/>
        <v>0</v>
      </c>
      <c r="AI324" s="205">
        <f t="shared" si="375"/>
        <v>0</v>
      </c>
      <c r="AJ324" s="205">
        <f t="shared" si="376"/>
        <v>0</v>
      </c>
      <c r="AK324" s="205">
        <f t="shared" si="393"/>
        <v>0</v>
      </c>
      <c r="AL324" s="205">
        <f t="shared" si="394"/>
        <v>0</v>
      </c>
      <c r="AM324" s="199"/>
      <c r="AN324" s="200">
        <f t="shared" si="442"/>
        <v>27</v>
      </c>
      <c r="AO324" s="201">
        <f t="shared" si="439"/>
        <v>7</v>
      </c>
      <c r="AP324" s="202">
        <f t="shared" ca="1" si="402"/>
        <v>53724</v>
      </c>
      <c r="AQ324" s="203">
        <f>IF(Dashboard!$S$20="Float",AQ323+Dashboard!$T$20/12,AQ323)</f>
        <v>4.4999999999999998E-2</v>
      </c>
      <c r="AR324" s="204">
        <f t="shared" si="395"/>
        <v>307</v>
      </c>
      <c r="AS324" s="205">
        <f t="shared" si="396"/>
        <v>884133.11828562862</v>
      </c>
      <c r="AT324" s="205">
        <f t="shared" si="379"/>
        <v>-18117.071455543854</v>
      </c>
      <c r="AU324" s="205">
        <f t="shared" si="380"/>
        <v>-3315.4991935711073</v>
      </c>
      <c r="AV324" s="205">
        <f t="shared" si="397"/>
        <v>-14801.572261972746</v>
      </c>
      <c r="AW324" s="205">
        <f t="shared" si="398"/>
        <v>869331.54602365592</v>
      </c>
      <c r="AX324" s="199"/>
    </row>
    <row r="325" spans="1:50">
      <c r="A325" s="73"/>
      <c r="B325" s="570"/>
      <c r="C325" s="200">
        <f t="shared" si="440"/>
        <v>26</v>
      </c>
      <c r="D325" s="201">
        <f t="shared" si="436"/>
        <v>8</v>
      </c>
      <c r="E325" s="202">
        <f t="shared" ca="1" si="399"/>
        <v>53752</v>
      </c>
      <c r="F325" s="203">
        <f>IF(Dashboard!$Q$5="Float",F324+Dashboard!$R$5/12,F324)</f>
        <v>0.04</v>
      </c>
      <c r="G325" s="204">
        <f t="shared" si="381"/>
        <v>308</v>
      </c>
      <c r="H325" s="205">
        <f t="shared" si="382"/>
        <v>868449.40777858149</v>
      </c>
      <c r="I325" s="205">
        <f t="shared" si="367"/>
        <v>-17903.073579954715</v>
      </c>
      <c r="J325" s="205">
        <f t="shared" si="368"/>
        <v>-2894.8313592619384</v>
      </c>
      <c r="K325" s="205">
        <f t="shared" si="383"/>
        <v>-15008.242220692777</v>
      </c>
      <c r="L325" s="205">
        <f t="shared" si="384"/>
        <v>853441.16555788869</v>
      </c>
      <c r="M325" s="199"/>
      <c r="N325" s="200">
        <f t="shared" ca="1" si="385"/>
        <v>13</v>
      </c>
      <c r="O325" s="509">
        <f t="shared" ca="1" si="369"/>
        <v>156</v>
      </c>
      <c r="P325" s="200">
        <f t="shared" ca="1" si="370"/>
        <v>14</v>
      </c>
      <c r="Q325" s="201">
        <f t="shared" si="437"/>
        <v>8</v>
      </c>
      <c r="R325" s="202">
        <f t="shared" si="400"/>
        <v>49157</v>
      </c>
      <c r="S325" s="203">
        <f t="shared" si="386"/>
        <v>0.04</v>
      </c>
      <c r="T325" s="204">
        <f t="shared" ca="1" si="387"/>
        <v>121</v>
      </c>
      <c r="U325" s="205">
        <f t="shared" ca="1" si="388"/>
        <v>393919.79605790612</v>
      </c>
      <c r="V325" s="205">
        <f t="shared" ca="1" si="371"/>
        <v>-2387.0764773272981</v>
      </c>
      <c r="W325" s="205">
        <f t="shared" ca="1" si="372"/>
        <v>-1313.065986859687</v>
      </c>
      <c r="X325" s="205">
        <f t="shared" ca="1" si="389"/>
        <v>-1074.0104904676111</v>
      </c>
      <c r="Y325" s="205">
        <f t="shared" ca="1" si="390"/>
        <v>392845.78556743852</v>
      </c>
      <c r="Z325" s="199"/>
      <c r="AA325" s="200">
        <f t="shared" ca="1" si="378"/>
        <v>26</v>
      </c>
      <c r="AB325" s="509">
        <f t="shared" ca="1" si="373"/>
        <v>307</v>
      </c>
      <c r="AC325" s="200">
        <f t="shared" si="441"/>
        <v>26</v>
      </c>
      <c r="AD325" s="201">
        <f t="shared" si="438"/>
        <v>8</v>
      </c>
      <c r="AE325" s="202">
        <f t="shared" ca="1" si="401"/>
        <v>53752</v>
      </c>
      <c r="AF325" s="203">
        <f>IF(Dashboard!$R$24="Float",AF324+Dashboard!$R$24/12,AF324)</f>
        <v>0.06</v>
      </c>
      <c r="AG325" s="204">
        <f t="shared" si="391"/>
        <v>308</v>
      </c>
      <c r="AH325" s="205">
        <f t="shared" si="392"/>
        <v>0</v>
      </c>
      <c r="AI325" s="205">
        <f t="shared" si="375"/>
        <v>0</v>
      </c>
      <c r="AJ325" s="205">
        <f t="shared" si="376"/>
        <v>0</v>
      </c>
      <c r="AK325" s="205">
        <f t="shared" si="393"/>
        <v>0</v>
      </c>
      <c r="AL325" s="205">
        <f t="shared" si="394"/>
        <v>0</v>
      </c>
      <c r="AM325" s="199"/>
      <c r="AN325" s="200">
        <f t="shared" si="442"/>
        <v>27</v>
      </c>
      <c r="AO325" s="201">
        <f t="shared" si="439"/>
        <v>8</v>
      </c>
      <c r="AP325" s="202">
        <f t="shared" ca="1" si="402"/>
        <v>53752</v>
      </c>
      <c r="AQ325" s="203">
        <f>IF(Dashboard!$S$20="Float",AQ324+Dashboard!$T$20/12,AQ324)</f>
        <v>4.4999999999999998E-2</v>
      </c>
      <c r="AR325" s="204">
        <f t="shared" si="395"/>
        <v>308</v>
      </c>
      <c r="AS325" s="205">
        <f t="shared" si="396"/>
        <v>869331.54602365592</v>
      </c>
      <c r="AT325" s="205">
        <f t="shared" si="379"/>
        <v>-18117.07145554385</v>
      </c>
      <c r="AU325" s="205">
        <f t="shared" si="380"/>
        <v>-3259.9932975887095</v>
      </c>
      <c r="AV325" s="205">
        <f t="shared" si="397"/>
        <v>-14857.07815795514</v>
      </c>
      <c r="AW325" s="205">
        <f t="shared" si="398"/>
        <v>854474.46786570083</v>
      </c>
      <c r="AX325" s="199"/>
    </row>
    <row r="326" spans="1:50">
      <c r="A326" s="73"/>
      <c r="B326" s="570"/>
      <c r="C326" s="200">
        <f t="shared" si="440"/>
        <v>26</v>
      </c>
      <c r="D326" s="201">
        <f t="shared" si="436"/>
        <v>9</v>
      </c>
      <c r="E326" s="202">
        <f t="shared" ca="1" si="399"/>
        <v>53783</v>
      </c>
      <c r="F326" s="203">
        <f>IF(Dashboard!$Q$5="Float",F325+Dashboard!$R$5/12,F325)</f>
        <v>0.04</v>
      </c>
      <c r="G326" s="204">
        <f t="shared" si="381"/>
        <v>309</v>
      </c>
      <c r="H326" s="205">
        <f t="shared" si="382"/>
        <v>853441.16555788869</v>
      </c>
      <c r="I326" s="205">
        <f t="shared" si="367"/>
        <v>-17903.073579954715</v>
      </c>
      <c r="J326" s="205">
        <f t="shared" si="368"/>
        <v>-2844.8038851929628</v>
      </c>
      <c r="K326" s="205">
        <f t="shared" si="383"/>
        <v>-15058.269694761751</v>
      </c>
      <c r="L326" s="205">
        <f t="shared" si="384"/>
        <v>838382.89586312696</v>
      </c>
      <c r="M326" s="199"/>
      <c r="N326" s="200">
        <f t="shared" ca="1" si="385"/>
        <v>14</v>
      </c>
      <c r="O326" s="509">
        <f t="shared" ca="1" si="369"/>
        <v>157</v>
      </c>
      <c r="P326" s="200">
        <f t="shared" ca="1" si="370"/>
        <v>14</v>
      </c>
      <c r="Q326" s="201">
        <f t="shared" si="437"/>
        <v>9</v>
      </c>
      <c r="R326" s="202">
        <f t="shared" si="400"/>
        <v>49188</v>
      </c>
      <c r="S326" s="203">
        <f t="shared" si="386"/>
        <v>0.04</v>
      </c>
      <c r="T326" s="204">
        <f t="shared" ca="1" si="387"/>
        <v>122</v>
      </c>
      <c r="U326" s="205">
        <f t="shared" ca="1" si="388"/>
        <v>392845.78556743852</v>
      </c>
      <c r="V326" s="205">
        <f t="shared" ca="1" si="371"/>
        <v>-2387.0764773272981</v>
      </c>
      <c r="W326" s="205">
        <f t="shared" ca="1" si="372"/>
        <v>-1309.4859518914618</v>
      </c>
      <c r="X326" s="205">
        <f t="shared" ca="1" si="389"/>
        <v>-1077.5905254358363</v>
      </c>
      <c r="Y326" s="205">
        <f t="shared" ca="1" si="390"/>
        <v>391768.19504200271</v>
      </c>
      <c r="Z326" s="199"/>
      <c r="AA326" s="200">
        <f t="shared" ca="1" si="378"/>
        <v>26</v>
      </c>
      <c r="AB326" s="509">
        <f t="shared" ca="1" si="373"/>
        <v>308</v>
      </c>
      <c r="AC326" s="200">
        <f t="shared" si="441"/>
        <v>26</v>
      </c>
      <c r="AD326" s="201">
        <f t="shared" si="438"/>
        <v>9</v>
      </c>
      <c r="AE326" s="202">
        <f t="shared" ca="1" si="401"/>
        <v>53783</v>
      </c>
      <c r="AF326" s="203">
        <f>IF(Dashboard!$R$24="Float",AF325+Dashboard!$R$24/12,AF325)</f>
        <v>0.06</v>
      </c>
      <c r="AG326" s="204">
        <f t="shared" si="391"/>
        <v>309</v>
      </c>
      <c r="AH326" s="205">
        <f t="shared" si="392"/>
        <v>0</v>
      </c>
      <c r="AI326" s="205">
        <f t="shared" si="375"/>
        <v>0</v>
      </c>
      <c r="AJ326" s="205">
        <f t="shared" si="376"/>
        <v>0</v>
      </c>
      <c r="AK326" s="205">
        <f t="shared" si="393"/>
        <v>0</v>
      </c>
      <c r="AL326" s="205">
        <f t="shared" si="394"/>
        <v>0</v>
      </c>
      <c r="AM326" s="199"/>
      <c r="AN326" s="200">
        <f t="shared" si="442"/>
        <v>27</v>
      </c>
      <c r="AO326" s="201">
        <f t="shared" si="439"/>
        <v>9</v>
      </c>
      <c r="AP326" s="202">
        <f t="shared" ca="1" si="402"/>
        <v>53783</v>
      </c>
      <c r="AQ326" s="203">
        <f>IF(Dashboard!$S$20="Float",AQ325+Dashboard!$T$20/12,AQ325)</f>
        <v>4.4999999999999998E-2</v>
      </c>
      <c r="AR326" s="204">
        <f t="shared" si="395"/>
        <v>309</v>
      </c>
      <c r="AS326" s="205">
        <f t="shared" si="396"/>
        <v>854474.46786570083</v>
      </c>
      <c r="AT326" s="205">
        <f t="shared" si="379"/>
        <v>-18117.071455543854</v>
      </c>
      <c r="AU326" s="205">
        <f t="shared" si="380"/>
        <v>-3204.2792544963781</v>
      </c>
      <c r="AV326" s="205">
        <f t="shared" si="397"/>
        <v>-14912.792201047476</v>
      </c>
      <c r="AW326" s="205">
        <f t="shared" si="398"/>
        <v>839561.6756646533</v>
      </c>
      <c r="AX326" s="199"/>
    </row>
    <row r="327" spans="1:50">
      <c r="A327" s="73"/>
      <c r="B327" s="570"/>
      <c r="C327" s="200">
        <f t="shared" si="440"/>
        <v>26</v>
      </c>
      <c r="D327" s="201">
        <f t="shared" si="436"/>
        <v>10</v>
      </c>
      <c r="E327" s="202">
        <f t="shared" ca="1" si="399"/>
        <v>53813</v>
      </c>
      <c r="F327" s="203">
        <f>IF(Dashboard!$Q$5="Float",F326+Dashboard!$R$5/12,F326)</f>
        <v>0.04</v>
      </c>
      <c r="G327" s="204">
        <f t="shared" si="381"/>
        <v>310</v>
      </c>
      <c r="H327" s="205">
        <f t="shared" si="382"/>
        <v>838382.89586312696</v>
      </c>
      <c r="I327" s="205">
        <f t="shared" si="367"/>
        <v>-17903.073579954715</v>
      </c>
      <c r="J327" s="205">
        <f t="shared" si="368"/>
        <v>-2794.60965287709</v>
      </c>
      <c r="K327" s="205">
        <f t="shared" si="383"/>
        <v>-15108.463927077624</v>
      </c>
      <c r="L327" s="205">
        <f t="shared" si="384"/>
        <v>823274.43193604937</v>
      </c>
      <c r="M327" s="199"/>
      <c r="N327" s="200">
        <f t="shared" ca="1" si="385"/>
        <v>14</v>
      </c>
      <c r="O327" s="509">
        <f t="shared" ca="1" si="369"/>
        <v>158</v>
      </c>
      <c r="P327" s="200">
        <f t="shared" ca="1" si="370"/>
        <v>14</v>
      </c>
      <c r="Q327" s="201">
        <f t="shared" si="437"/>
        <v>10</v>
      </c>
      <c r="R327" s="202">
        <f t="shared" si="400"/>
        <v>49218</v>
      </c>
      <c r="S327" s="203">
        <f t="shared" si="386"/>
        <v>0.04</v>
      </c>
      <c r="T327" s="204">
        <f t="shared" ca="1" si="387"/>
        <v>123</v>
      </c>
      <c r="U327" s="205">
        <f t="shared" ca="1" si="388"/>
        <v>391768.19504200271</v>
      </c>
      <c r="V327" s="205">
        <f t="shared" ca="1" si="371"/>
        <v>-2387.0764773272972</v>
      </c>
      <c r="W327" s="205">
        <f t="shared" ca="1" si="372"/>
        <v>-1305.8939834733424</v>
      </c>
      <c r="X327" s="205">
        <f t="shared" ca="1" si="389"/>
        <v>-1081.1824938539548</v>
      </c>
      <c r="Y327" s="205">
        <f t="shared" ca="1" si="390"/>
        <v>390687.01254814875</v>
      </c>
      <c r="Z327" s="199"/>
      <c r="AA327" s="200">
        <f t="shared" ca="1" si="378"/>
        <v>26</v>
      </c>
      <c r="AB327" s="509">
        <f t="shared" ca="1" si="373"/>
        <v>309</v>
      </c>
      <c r="AC327" s="200">
        <f t="shared" si="441"/>
        <v>26</v>
      </c>
      <c r="AD327" s="201">
        <f t="shared" si="438"/>
        <v>10</v>
      </c>
      <c r="AE327" s="202">
        <f t="shared" ca="1" si="401"/>
        <v>53813</v>
      </c>
      <c r="AF327" s="203">
        <f>IF(Dashboard!$R$24="Float",AF326+Dashboard!$R$24/12,AF326)</f>
        <v>0.06</v>
      </c>
      <c r="AG327" s="204">
        <f t="shared" si="391"/>
        <v>310</v>
      </c>
      <c r="AH327" s="205">
        <f t="shared" si="392"/>
        <v>0</v>
      </c>
      <c r="AI327" s="205">
        <f t="shared" si="375"/>
        <v>0</v>
      </c>
      <c r="AJ327" s="205">
        <f t="shared" si="376"/>
        <v>0</v>
      </c>
      <c r="AK327" s="205">
        <f t="shared" si="393"/>
        <v>0</v>
      </c>
      <c r="AL327" s="205">
        <f t="shared" si="394"/>
        <v>0</v>
      </c>
      <c r="AM327" s="199"/>
      <c r="AN327" s="200">
        <f t="shared" si="442"/>
        <v>27</v>
      </c>
      <c r="AO327" s="201">
        <f t="shared" si="439"/>
        <v>10</v>
      </c>
      <c r="AP327" s="202">
        <f t="shared" ca="1" si="402"/>
        <v>53813</v>
      </c>
      <c r="AQ327" s="203">
        <f>IF(Dashboard!$S$20="Float",AQ326+Dashboard!$T$20/12,AQ326)</f>
        <v>4.4999999999999998E-2</v>
      </c>
      <c r="AR327" s="204">
        <f t="shared" si="395"/>
        <v>310</v>
      </c>
      <c r="AS327" s="205">
        <f t="shared" si="396"/>
        <v>839561.6756646533</v>
      </c>
      <c r="AT327" s="205">
        <f t="shared" si="379"/>
        <v>-18117.07145554385</v>
      </c>
      <c r="AU327" s="205">
        <f t="shared" si="380"/>
        <v>-3148.3562837424502</v>
      </c>
      <c r="AV327" s="205">
        <f t="shared" si="397"/>
        <v>-14968.715171801399</v>
      </c>
      <c r="AW327" s="205">
        <f t="shared" si="398"/>
        <v>824592.96049285191</v>
      </c>
      <c r="AX327" s="199"/>
    </row>
    <row r="328" spans="1:50">
      <c r="A328" s="73"/>
      <c r="B328" s="570"/>
      <c r="C328" s="200">
        <f t="shared" si="440"/>
        <v>26</v>
      </c>
      <c r="D328" s="201">
        <f t="shared" si="436"/>
        <v>11</v>
      </c>
      <c r="E328" s="202">
        <f t="shared" ca="1" si="399"/>
        <v>53844</v>
      </c>
      <c r="F328" s="203">
        <f>IF(Dashboard!$Q$5="Float",F327+Dashboard!$R$5/12,F327)</f>
        <v>0.04</v>
      </c>
      <c r="G328" s="204">
        <f t="shared" si="381"/>
        <v>311</v>
      </c>
      <c r="H328" s="205">
        <f t="shared" si="382"/>
        <v>823274.43193604937</v>
      </c>
      <c r="I328" s="205">
        <f t="shared" si="367"/>
        <v>-17903.073579954718</v>
      </c>
      <c r="J328" s="205">
        <f t="shared" si="368"/>
        <v>-2744.2481064534982</v>
      </c>
      <c r="K328" s="205">
        <f t="shared" si="383"/>
        <v>-15158.82547350122</v>
      </c>
      <c r="L328" s="205">
        <f t="shared" si="384"/>
        <v>808115.60646254814</v>
      </c>
      <c r="M328" s="199"/>
      <c r="N328" s="200">
        <f t="shared" ca="1" si="385"/>
        <v>14</v>
      </c>
      <c r="O328" s="509">
        <f t="shared" ca="1" si="369"/>
        <v>159</v>
      </c>
      <c r="P328" s="200">
        <f t="shared" ca="1" si="370"/>
        <v>14</v>
      </c>
      <c r="Q328" s="201">
        <f t="shared" si="437"/>
        <v>11</v>
      </c>
      <c r="R328" s="202">
        <f t="shared" si="400"/>
        <v>49249</v>
      </c>
      <c r="S328" s="203">
        <f t="shared" si="386"/>
        <v>0.04</v>
      </c>
      <c r="T328" s="204">
        <f t="shared" ca="1" si="387"/>
        <v>124</v>
      </c>
      <c r="U328" s="205">
        <f t="shared" ca="1" si="388"/>
        <v>390687.01254814875</v>
      </c>
      <c r="V328" s="205">
        <f t="shared" ca="1" si="371"/>
        <v>-2387.0764773272981</v>
      </c>
      <c r="W328" s="205">
        <f t="shared" ca="1" si="372"/>
        <v>-1302.2900418271627</v>
      </c>
      <c r="X328" s="205">
        <f t="shared" ca="1" si="389"/>
        <v>-1084.7864355001354</v>
      </c>
      <c r="Y328" s="205">
        <f t="shared" ca="1" si="390"/>
        <v>389602.22611264861</v>
      </c>
      <c r="Z328" s="199"/>
      <c r="AA328" s="200">
        <f t="shared" ca="1" si="378"/>
        <v>26</v>
      </c>
      <c r="AB328" s="509">
        <f t="shared" ca="1" si="373"/>
        <v>310</v>
      </c>
      <c r="AC328" s="200">
        <f t="shared" si="441"/>
        <v>26</v>
      </c>
      <c r="AD328" s="201">
        <f t="shared" si="438"/>
        <v>11</v>
      </c>
      <c r="AE328" s="202">
        <f t="shared" ca="1" si="401"/>
        <v>53844</v>
      </c>
      <c r="AF328" s="203">
        <f>IF(Dashboard!$R$24="Float",AF327+Dashboard!$R$24/12,AF327)</f>
        <v>0.06</v>
      </c>
      <c r="AG328" s="204">
        <f t="shared" si="391"/>
        <v>311</v>
      </c>
      <c r="AH328" s="205">
        <f t="shared" si="392"/>
        <v>0</v>
      </c>
      <c r="AI328" s="205">
        <f t="shared" si="375"/>
        <v>0</v>
      </c>
      <c r="AJ328" s="205">
        <f t="shared" si="376"/>
        <v>0</v>
      </c>
      <c r="AK328" s="205">
        <f t="shared" si="393"/>
        <v>0</v>
      </c>
      <c r="AL328" s="205">
        <f t="shared" si="394"/>
        <v>0</v>
      </c>
      <c r="AM328" s="199"/>
      <c r="AN328" s="200">
        <f t="shared" si="442"/>
        <v>27</v>
      </c>
      <c r="AO328" s="201">
        <f t="shared" si="439"/>
        <v>11</v>
      </c>
      <c r="AP328" s="202">
        <f t="shared" ca="1" si="402"/>
        <v>53844</v>
      </c>
      <c r="AQ328" s="203">
        <f>IF(Dashboard!$S$20="Float",AQ327+Dashboard!$T$20/12,AQ327)</f>
        <v>4.4999999999999998E-2</v>
      </c>
      <c r="AR328" s="204">
        <f t="shared" si="395"/>
        <v>311</v>
      </c>
      <c r="AS328" s="205">
        <f t="shared" si="396"/>
        <v>824592.96049285191</v>
      </c>
      <c r="AT328" s="205">
        <f t="shared" si="379"/>
        <v>-18117.07145554385</v>
      </c>
      <c r="AU328" s="205">
        <f t="shared" si="380"/>
        <v>-3092.2236018481944</v>
      </c>
      <c r="AV328" s="205">
        <f t="shared" si="397"/>
        <v>-15024.847853695655</v>
      </c>
      <c r="AW328" s="205">
        <f t="shared" si="398"/>
        <v>809568.11263915629</v>
      </c>
      <c r="AX328" s="199"/>
    </row>
    <row r="329" spans="1:50">
      <c r="A329" s="73"/>
      <c r="B329" s="570"/>
      <c r="C329" s="200">
        <f t="shared" si="440"/>
        <v>26</v>
      </c>
      <c r="D329" s="201">
        <f t="shared" si="436"/>
        <v>12</v>
      </c>
      <c r="E329" s="202">
        <f t="shared" ca="1" si="399"/>
        <v>53874</v>
      </c>
      <c r="F329" s="203">
        <f>IF(Dashboard!$Q$5="Float",F328+Dashboard!$R$5/12,F328)</f>
        <v>0.04</v>
      </c>
      <c r="G329" s="204">
        <f t="shared" si="381"/>
        <v>312</v>
      </c>
      <c r="H329" s="205">
        <f t="shared" si="382"/>
        <v>808115.60646254814</v>
      </c>
      <c r="I329" s="205">
        <f t="shared" si="367"/>
        <v>-17903.073579954718</v>
      </c>
      <c r="J329" s="205">
        <f t="shared" si="368"/>
        <v>-2693.7186882084939</v>
      </c>
      <c r="K329" s="205">
        <f t="shared" si="383"/>
        <v>-15209.354891746225</v>
      </c>
      <c r="L329" s="205">
        <f t="shared" si="384"/>
        <v>792906.25157080195</v>
      </c>
      <c r="M329" s="199"/>
      <c r="N329" s="200">
        <f t="shared" ca="1" si="385"/>
        <v>14</v>
      </c>
      <c r="O329" s="509">
        <f t="shared" ca="1" si="369"/>
        <v>160</v>
      </c>
      <c r="P329" s="200">
        <f t="shared" ca="1" si="370"/>
        <v>14</v>
      </c>
      <c r="Q329" s="201">
        <f t="shared" si="437"/>
        <v>12</v>
      </c>
      <c r="R329" s="202">
        <f t="shared" si="400"/>
        <v>49279</v>
      </c>
      <c r="S329" s="203">
        <f t="shared" si="386"/>
        <v>0.04</v>
      </c>
      <c r="T329" s="204">
        <f t="shared" ca="1" si="387"/>
        <v>125</v>
      </c>
      <c r="U329" s="205">
        <f t="shared" ca="1" si="388"/>
        <v>389602.22611264861</v>
      </c>
      <c r="V329" s="205">
        <f t="shared" ca="1" si="371"/>
        <v>-2387.0764773272981</v>
      </c>
      <c r="W329" s="205">
        <f t="shared" ca="1" si="372"/>
        <v>-1298.674087042162</v>
      </c>
      <c r="X329" s="205">
        <f t="shared" ca="1" si="389"/>
        <v>-1088.4023902851361</v>
      </c>
      <c r="Y329" s="205">
        <f t="shared" ca="1" si="390"/>
        <v>388513.82372236345</v>
      </c>
      <c r="Z329" s="199"/>
      <c r="AA329" s="200">
        <f t="shared" ca="1" si="378"/>
        <v>26</v>
      </c>
      <c r="AB329" s="509">
        <f t="shared" ca="1" si="373"/>
        <v>311</v>
      </c>
      <c r="AC329" s="200">
        <f t="shared" si="441"/>
        <v>26</v>
      </c>
      <c r="AD329" s="201">
        <f t="shared" si="438"/>
        <v>12</v>
      </c>
      <c r="AE329" s="202">
        <f t="shared" ca="1" si="401"/>
        <v>53874</v>
      </c>
      <c r="AF329" s="203">
        <f>IF(Dashboard!$R$24="Float",AF328+Dashboard!$R$24/12,AF328)</f>
        <v>0.06</v>
      </c>
      <c r="AG329" s="204">
        <f t="shared" si="391"/>
        <v>312</v>
      </c>
      <c r="AH329" s="205">
        <f t="shared" si="392"/>
        <v>0</v>
      </c>
      <c r="AI329" s="205">
        <f t="shared" si="375"/>
        <v>0</v>
      </c>
      <c r="AJ329" s="205">
        <f t="shared" si="376"/>
        <v>0</v>
      </c>
      <c r="AK329" s="205">
        <f t="shared" si="393"/>
        <v>0</v>
      </c>
      <c r="AL329" s="205">
        <f t="shared" si="394"/>
        <v>0</v>
      </c>
      <c r="AM329" s="199"/>
      <c r="AN329" s="200">
        <f t="shared" si="442"/>
        <v>27</v>
      </c>
      <c r="AO329" s="201">
        <f t="shared" si="439"/>
        <v>12</v>
      </c>
      <c r="AP329" s="202">
        <f t="shared" ca="1" si="402"/>
        <v>53874</v>
      </c>
      <c r="AQ329" s="203">
        <f>IF(Dashboard!$S$20="Float",AQ328+Dashboard!$T$20/12,AQ328)</f>
        <v>4.4999999999999998E-2</v>
      </c>
      <c r="AR329" s="204">
        <f t="shared" si="395"/>
        <v>312</v>
      </c>
      <c r="AS329" s="205">
        <f t="shared" si="396"/>
        <v>809568.11263915629</v>
      </c>
      <c r="AT329" s="205">
        <f t="shared" si="379"/>
        <v>-18117.07145554385</v>
      </c>
      <c r="AU329" s="205">
        <f t="shared" si="380"/>
        <v>-3035.8804223968359</v>
      </c>
      <c r="AV329" s="205">
        <f t="shared" si="397"/>
        <v>-15081.191033147014</v>
      </c>
      <c r="AW329" s="205">
        <f t="shared" si="398"/>
        <v>794486.92160600924</v>
      </c>
      <c r="AX329" s="199"/>
    </row>
    <row r="330" spans="1:50">
      <c r="A330" s="73"/>
      <c r="B330" s="571">
        <f>+C330</f>
        <v>27</v>
      </c>
      <c r="C330" s="16">
        <f t="shared" ref="C330" si="443">+C329+1</f>
        <v>27</v>
      </c>
      <c r="D330" s="17">
        <v>1</v>
      </c>
      <c r="E330" s="18">
        <f t="shared" ca="1" si="399"/>
        <v>53905</v>
      </c>
      <c r="F330" s="10">
        <f>IF(Dashboard!$Q$5="Float",F329+Dashboard!$R$5/12,F329)</f>
        <v>0.04</v>
      </c>
      <c r="G330" s="14">
        <f t="shared" si="381"/>
        <v>313</v>
      </c>
      <c r="H330" s="5">
        <f t="shared" si="382"/>
        <v>792906.25157080195</v>
      </c>
      <c r="I330" s="5">
        <f t="shared" si="367"/>
        <v>-17903.073579954718</v>
      </c>
      <c r="J330" s="5">
        <f t="shared" si="368"/>
        <v>-2643.02083856934</v>
      </c>
      <c r="K330" s="5">
        <f t="shared" si="383"/>
        <v>-15260.052741385378</v>
      </c>
      <c r="L330" s="5">
        <f t="shared" si="384"/>
        <v>777646.19882941653</v>
      </c>
      <c r="M330" s="199"/>
      <c r="N330" s="16">
        <f t="shared" ca="1" si="385"/>
        <v>14</v>
      </c>
      <c r="O330" s="508">
        <f t="shared" ca="1" si="369"/>
        <v>161</v>
      </c>
      <c r="P330" s="16">
        <f t="shared" ca="1" si="370"/>
        <v>14</v>
      </c>
      <c r="Q330" s="17">
        <v>1</v>
      </c>
      <c r="R330" s="18">
        <f t="shared" si="400"/>
        <v>49310</v>
      </c>
      <c r="S330" s="10">
        <f t="shared" si="386"/>
        <v>0.04</v>
      </c>
      <c r="T330" s="14">
        <f t="shared" ca="1" si="387"/>
        <v>126</v>
      </c>
      <c r="U330" s="5">
        <f t="shared" ca="1" si="388"/>
        <v>388513.82372236345</v>
      </c>
      <c r="V330" s="5">
        <f t="shared" ca="1" si="371"/>
        <v>-2387.0764773272977</v>
      </c>
      <c r="W330" s="5">
        <f t="shared" ca="1" si="372"/>
        <v>-1295.0460790745449</v>
      </c>
      <c r="X330" s="5">
        <f t="shared" ca="1" si="389"/>
        <v>-1092.0303982527528</v>
      </c>
      <c r="Y330" s="5">
        <f t="shared" ca="1" si="390"/>
        <v>387421.79332411068</v>
      </c>
      <c r="Z330" s="199"/>
      <c r="AA330" s="16">
        <f t="shared" ca="1" si="378"/>
        <v>26</v>
      </c>
      <c r="AB330" s="508">
        <f t="shared" ca="1" si="373"/>
        <v>312</v>
      </c>
      <c r="AC330" s="16">
        <f t="shared" ref="AC330" si="444">+AC329+1</f>
        <v>27</v>
      </c>
      <c r="AD330" s="17">
        <v>1</v>
      </c>
      <c r="AE330" s="18">
        <f t="shared" ca="1" si="401"/>
        <v>53905</v>
      </c>
      <c r="AF330" s="10">
        <f>IF(Dashboard!$R$24="Float",AF329+Dashboard!$R$24/12,AF329)</f>
        <v>0.06</v>
      </c>
      <c r="AG330" s="14">
        <f t="shared" si="391"/>
        <v>313</v>
      </c>
      <c r="AH330" s="5">
        <f t="shared" si="392"/>
        <v>0</v>
      </c>
      <c r="AI330" s="5">
        <f t="shared" si="375"/>
        <v>0</v>
      </c>
      <c r="AJ330" s="5">
        <f t="shared" si="376"/>
        <v>0</v>
      </c>
      <c r="AK330" s="5">
        <f t="shared" si="393"/>
        <v>0</v>
      </c>
      <c r="AL330" s="5">
        <f t="shared" si="394"/>
        <v>0</v>
      </c>
      <c r="AM330" s="199"/>
      <c r="AN330" s="16">
        <f t="shared" ref="AN330" si="445">+AN329+1</f>
        <v>28</v>
      </c>
      <c r="AO330" s="17">
        <v>1</v>
      </c>
      <c r="AP330" s="18">
        <f t="shared" ca="1" si="402"/>
        <v>53905</v>
      </c>
      <c r="AQ330" s="10">
        <f>IF(Dashboard!$S$20="Float",AQ329+Dashboard!$T$20/12,AQ329)</f>
        <v>4.4999999999999998E-2</v>
      </c>
      <c r="AR330" s="14">
        <f t="shared" si="395"/>
        <v>313</v>
      </c>
      <c r="AS330" s="5">
        <f t="shared" si="396"/>
        <v>794486.92160600924</v>
      </c>
      <c r="AT330" s="5">
        <f t="shared" si="379"/>
        <v>-18117.07145554385</v>
      </c>
      <c r="AU330" s="5">
        <f t="shared" si="380"/>
        <v>-2979.3259560225347</v>
      </c>
      <c r="AV330" s="5">
        <f t="shared" si="397"/>
        <v>-15137.745499521316</v>
      </c>
      <c r="AW330" s="5">
        <f t="shared" si="398"/>
        <v>779349.17610648798</v>
      </c>
      <c r="AX330" s="199"/>
    </row>
    <row r="331" spans="1:50">
      <c r="A331" s="73"/>
      <c r="B331" s="572"/>
      <c r="C331" s="16">
        <f>+C330</f>
        <v>27</v>
      </c>
      <c r="D331" s="17">
        <f>+D330+1</f>
        <v>2</v>
      </c>
      <c r="E331" s="18">
        <f t="shared" ca="1" si="399"/>
        <v>53936</v>
      </c>
      <c r="F331" s="10">
        <f>IF(Dashboard!$Q$5="Float",F330+Dashboard!$R$5/12,F330)</f>
        <v>0.04</v>
      </c>
      <c r="G331" s="14">
        <f t="shared" si="381"/>
        <v>314</v>
      </c>
      <c r="H331" s="5">
        <f t="shared" si="382"/>
        <v>777646.19882941653</v>
      </c>
      <c r="I331" s="5">
        <f t="shared" si="367"/>
        <v>-17903.073579954718</v>
      </c>
      <c r="J331" s="5">
        <f t="shared" si="368"/>
        <v>-2592.1539960980549</v>
      </c>
      <c r="K331" s="5">
        <f t="shared" si="383"/>
        <v>-15310.919583856663</v>
      </c>
      <c r="L331" s="5">
        <f t="shared" si="384"/>
        <v>762335.27924555982</v>
      </c>
      <c r="M331" s="199"/>
      <c r="N331" s="16">
        <f t="shared" ca="1" si="385"/>
        <v>14</v>
      </c>
      <c r="O331" s="508">
        <f t="shared" ca="1" si="369"/>
        <v>162</v>
      </c>
      <c r="P331" s="16">
        <f t="shared" ca="1" si="370"/>
        <v>14</v>
      </c>
      <c r="Q331" s="17">
        <f>+Q330+1</f>
        <v>2</v>
      </c>
      <c r="R331" s="18">
        <f t="shared" si="400"/>
        <v>49341</v>
      </c>
      <c r="S331" s="10">
        <f t="shared" si="386"/>
        <v>0.04</v>
      </c>
      <c r="T331" s="14">
        <f t="shared" ca="1" si="387"/>
        <v>127</v>
      </c>
      <c r="U331" s="5">
        <f t="shared" ca="1" si="388"/>
        <v>387421.79332411068</v>
      </c>
      <c r="V331" s="5">
        <f t="shared" ca="1" si="371"/>
        <v>-2387.0764773272977</v>
      </c>
      <c r="W331" s="5">
        <f t="shared" ca="1" si="372"/>
        <v>-1291.4059777470356</v>
      </c>
      <c r="X331" s="5">
        <f t="shared" ca="1" si="389"/>
        <v>-1095.670499580262</v>
      </c>
      <c r="Y331" s="5">
        <f t="shared" ca="1" si="390"/>
        <v>386326.12282453041</v>
      </c>
      <c r="Z331" s="199"/>
      <c r="AA331" s="16">
        <f t="shared" ca="1" si="378"/>
        <v>27</v>
      </c>
      <c r="AB331" s="508">
        <f t="shared" ca="1" si="373"/>
        <v>313</v>
      </c>
      <c r="AC331" s="16">
        <f>+AC330</f>
        <v>27</v>
      </c>
      <c r="AD331" s="17">
        <f>+AD330+1</f>
        <v>2</v>
      </c>
      <c r="AE331" s="18">
        <f t="shared" ca="1" si="401"/>
        <v>53936</v>
      </c>
      <c r="AF331" s="10">
        <f>IF(Dashboard!$R$24="Float",AF330+Dashboard!$R$24/12,AF330)</f>
        <v>0.06</v>
      </c>
      <c r="AG331" s="14">
        <f t="shared" si="391"/>
        <v>314</v>
      </c>
      <c r="AH331" s="5">
        <f t="shared" si="392"/>
        <v>0</v>
      </c>
      <c r="AI331" s="5">
        <f t="shared" si="375"/>
        <v>0</v>
      </c>
      <c r="AJ331" s="5">
        <f t="shared" si="376"/>
        <v>0</v>
      </c>
      <c r="AK331" s="5">
        <f t="shared" si="393"/>
        <v>0</v>
      </c>
      <c r="AL331" s="5">
        <f t="shared" si="394"/>
        <v>0</v>
      </c>
      <c r="AM331" s="199"/>
      <c r="AN331" s="16">
        <f>+AN330</f>
        <v>28</v>
      </c>
      <c r="AO331" s="17">
        <f>+AO330+1</f>
        <v>2</v>
      </c>
      <c r="AP331" s="18">
        <f t="shared" ca="1" si="402"/>
        <v>53936</v>
      </c>
      <c r="AQ331" s="10">
        <f>IF(Dashboard!$S$20="Float",AQ330+Dashboard!$T$20/12,AQ330)</f>
        <v>4.4999999999999998E-2</v>
      </c>
      <c r="AR331" s="14">
        <f t="shared" si="395"/>
        <v>314</v>
      </c>
      <c r="AS331" s="5">
        <f t="shared" si="396"/>
        <v>779349.17610648798</v>
      </c>
      <c r="AT331" s="5">
        <f t="shared" si="379"/>
        <v>-18117.071455543854</v>
      </c>
      <c r="AU331" s="5">
        <f t="shared" si="380"/>
        <v>-2922.5594103993299</v>
      </c>
      <c r="AV331" s="5">
        <f t="shared" si="397"/>
        <v>-15194.512045144524</v>
      </c>
      <c r="AW331" s="5">
        <f t="shared" si="398"/>
        <v>764154.66406134341</v>
      </c>
      <c r="AX331" s="199"/>
    </row>
    <row r="332" spans="1:50">
      <c r="A332" s="73"/>
      <c r="B332" s="572"/>
      <c r="C332" s="16">
        <f>+C331</f>
        <v>27</v>
      </c>
      <c r="D332" s="17">
        <f>+D331+1</f>
        <v>3</v>
      </c>
      <c r="E332" s="18">
        <f t="shared" ca="1" si="399"/>
        <v>53966</v>
      </c>
      <c r="F332" s="10">
        <f>IF(Dashboard!$Q$5="Float",F331+Dashboard!$R$5/12,F331)</f>
        <v>0.04</v>
      </c>
      <c r="G332" s="14">
        <f t="shared" si="381"/>
        <v>315</v>
      </c>
      <c r="H332" s="5">
        <f t="shared" si="382"/>
        <v>762335.27924555982</v>
      </c>
      <c r="I332" s="5">
        <f t="shared" si="367"/>
        <v>-17903.073579954718</v>
      </c>
      <c r="J332" s="5">
        <f t="shared" si="368"/>
        <v>-2541.1175974851994</v>
      </c>
      <c r="K332" s="5">
        <f t="shared" si="383"/>
        <v>-15361.955982469519</v>
      </c>
      <c r="L332" s="5">
        <f t="shared" si="384"/>
        <v>746973.32326309034</v>
      </c>
      <c r="M332" s="199"/>
      <c r="N332" s="16">
        <f t="shared" ca="1" si="385"/>
        <v>14</v>
      </c>
      <c r="O332" s="508">
        <f t="shared" ca="1" si="369"/>
        <v>163</v>
      </c>
      <c r="P332" s="16">
        <f t="shared" ca="1" si="370"/>
        <v>14</v>
      </c>
      <c r="Q332" s="17">
        <f>+Q331+1</f>
        <v>3</v>
      </c>
      <c r="R332" s="18">
        <f t="shared" si="400"/>
        <v>49369</v>
      </c>
      <c r="S332" s="10">
        <f t="shared" si="386"/>
        <v>0.04</v>
      </c>
      <c r="T332" s="14">
        <f t="shared" ca="1" si="387"/>
        <v>128</v>
      </c>
      <c r="U332" s="5">
        <f t="shared" ca="1" si="388"/>
        <v>386326.12282453041</v>
      </c>
      <c r="V332" s="5">
        <f t="shared" ca="1" si="371"/>
        <v>-2387.0764773272977</v>
      </c>
      <c r="W332" s="5">
        <f t="shared" ca="1" si="372"/>
        <v>-1287.7537427484347</v>
      </c>
      <c r="X332" s="5">
        <f t="shared" ca="1" si="389"/>
        <v>-1099.322734578863</v>
      </c>
      <c r="Y332" s="5">
        <f t="shared" ca="1" si="390"/>
        <v>385226.80008995155</v>
      </c>
      <c r="Z332" s="199"/>
      <c r="AA332" s="16">
        <f t="shared" ca="1" si="378"/>
        <v>27</v>
      </c>
      <c r="AB332" s="508">
        <f t="shared" ca="1" si="373"/>
        <v>314</v>
      </c>
      <c r="AC332" s="16">
        <f>+AC331</f>
        <v>27</v>
      </c>
      <c r="AD332" s="17">
        <f>+AD331+1</f>
        <v>3</v>
      </c>
      <c r="AE332" s="18">
        <f t="shared" ca="1" si="401"/>
        <v>53966</v>
      </c>
      <c r="AF332" s="10">
        <f>IF(Dashboard!$R$24="Float",AF331+Dashboard!$R$24/12,AF331)</f>
        <v>0.06</v>
      </c>
      <c r="AG332" s="14">
        <f t="shared" si="391"/>
        <v>315</v>
      </c>
      <c r="AH332" s="5">
        <f t="shared" si="392"/>
        <v>0</v>
      </c>
      <c r="AI332" s="5">
        <f t="shared" si="375"/>
        <v>0</v>
      </c>
      <c r="AJ332" s="5">
        <f t="shared" si="376"/>
        <v>0</v>
      </c>
      <c r="AK332" s="5">
        <f t="shared" si="393"/>
        <v>0</v>
      </c>
      <c r="AL332" s="5">
        <f t="shared" si="394"/>
        <v>0</v>
      </c>
      <c r="AM332" s="199"/>
      <c r="AN332" s="16">
        <f>+AN331</f>
        <v>28</v>
      </c>
      <c r="AO332" s="17">
        <f>+AO331+1</f>
        <v>3</v>
      </c>
      <c r="AP332" s="18">
        <f t="shared" ca="1" si="402"/>
        <v>53966</v>
      </c>
      <c r="AQ332" s="10">
        <f>IF(Dashboard!$S$20="Float",AQ331+Dashboard!$T$20/12,AQ331)</f>
        <v>4.4999999999999998E-2</v>
      </c>
      <c r="AR332" s="14">
        <f t="shared" si="395"/>
        <v>315</v>
      </c>
      <c r="AS332" s="5">
        <f t="shared" si="396"/>
        <v>764154.66406134341</v>
      </c>
      <c r="AT332" s="5">
        <f t="shared" si="379"/>
        <v>-18117.07145554385</v>
      </c>
      <c r="AU332" s="5">
        <f t="shared" si="380"/>
        <v>-2865.5799902300373</v>
      </c>
      <c r="AV332" s="5">
        <f t="shared" si="397"/>
        <v>-15251.491465313813</v>
      </c>
      <c r="AW332" s="5">
        <f t="shared" si="398"/>
        <v>748903.17259602959</v>
      </c>
      <c r="AX332" s="199"/>
    </row>
    <row r="333" spans="1:50">
      <c r="A333" s="73"/>
      <c r="B333" s="572"/>
      <c r="C333" s="16">
        <f>+C332</f>
        <v>27</v>
      </c>
      <c r="D333" s="17">
        <f t="shared" ref="D333:D341" si="446">+D332+1</f>
        <v>4</v>
      </c>
      <c r="E333" s="18">
        <f t="shared" ca="1" si="399"/>
        <v>53997</v>
      </c>
      <c r="F333" s="10">
        <f>IF(Dashboard!$Q$5="Float",F332+Dashboard!$R$5/12,F332)</f>
        <v>0.04</v>
      </c>
      <c r="G333" s="14">
        <f t="shared" si="381"/>
        <v>316</v>
      </c>
      <c r="H333" s="5">
        <f t="shared" si="382"/>
        <v>746973.32326309034</v>
      </c>
      <c r="I333" s="5">
        <f t="shared" si="367"/>
        <v>-17903.073579954718</v>
      </c>
      <c r="J333" s="5">
        <f t="shared" si="368"/>
        <v>-2489.9110775436343</v>
      </c>
      <c r="K333" s="5">
        <f t="shared" si="383"/>
        <v>-15413.162502411084</v>
      </c>
      <c r="L333" s="5">
        <f t="shared" si="384"/>
        <v>731560.16076067928</v>
      </c>
      <c r="M333" s="199"/>
      <c r="N333" s="16">
        <f t="shared" ca="1" si="385"/>
        <v>14</v>
      </c>
      <c r="O333" s="508">
        <f t="shared" ca="1" si="369"/>
        <v>164</v>
      </c>
      <c r="P333" s="16">
        <f t="shared" ca="1" si="370"/>
        <v>14</v>
      </c>
      <c r="Q333" s="17">
        <f t="shared" ref="Q333:Q341" si="447">+Q332+1</f>
        <v>4</v>
      </c>
      <c r="R333" s="18">
        <f t="shared" si="400"/>
        <v>49400</v>
      </c>
      <c r="S333" s="10">
        <f t="shared" si="386"/>
        <v>0.04</v>
      </c>
      <c r="T333" s="14">
        <f t="shared" ca="1" si="387"/>
        <v>129</v>
      </c>
      <c r="U333" s="5">
        <f t="shared" ca="1" si="388"/>
        <v>385226.80008995155</v>
      </c>
      <c r="V333" s="5">
        <f t="shared" ca="1" si="371"/>
        <v>-2387.0764773272977</v>
      </c>
      <c r="W333" s="5">
        <f t="shared" ca="1" si="372"/>
        <v>-1284.0893336331719</v>
      </c>
      <c r="X333" s="5">
        <f t="shared" ca="1" si="389"/>
        <v>-1102.9871436941257</v>
      </c>
      <c r="Y333" s="5">
        <f t="shared" ca="1" si="390"/>
        <v>384123.81294625741</v>
      </c>
      <c r="Z333" s="199"/>
      <c r="AA333" s="16">
        <f t="shared" ca="1" si="378"/>
        <v>27</v>
      </c>
      <c r="AB333" s="508">
        <f t="shared" ca="1" si="373"/>
        <v>315</v>
      </c>
      <c r="AC333" s="16">
        <f>+AC332</f>
        <v>27</v>
      </c>
      <c r="AD333" s="17">
        <f t="shared" ref="AD333:AD341" si="448">+AD332+1</f>
        <v>4</v>
      </c>
      <c r="AE333" s="18">
        <f t="shared" ca="1" si="401"/>
        <v>53997</v>
      </c>
      <c r="AF333" s="10">
        <f>IF(Dashboard!$R$24="Float",AF332+Dashboard!$R$24/12,AF332)</f>
        <v>0.06</v>
      </c>
      <c r="AG333" s="14">
        <f t="shared" si="391"/>
        <v>316</v>
      </c>
      <c r="AH333" s="5">
        <f t="shared" si="392"/>
        <v>0</v>
      </c>
      <c r="AI333" s="5">
        <f t="shared" si="375"/>
        <v>0</v>
      </c>
      <c r="AJ333" s="5">
        <f t="shared" si="376"/>
        <v>0</v>
      </c>
      <c r="AK333" s="5">
        <f t="shared" si="393"/>
        <v>0</v>
      </c>
      <c r="AL333" s="5">
        <f t="shared" si="394"/>
        <v>0</v>
      </c>
      <c r="AM333" s="199"/>
      <c r="AN333" s="16">
        <f>+AN332</f>
        <v>28</v>
      </c>
      <c r="AO333" s="17">
        <f t="shared" ref="AO333:AO341" si="449">+AO332+1</f>
        <v>4</v>
      </c>
      <c r="AP333" s="18">
        <f t="shared" ca="1" si="402"/>
        <v>53997</v>
      </c>
      <c r="AQ333" s="10">
        <f>IF(Dashboard!$S$20="Float",AQ332+Dashboard!$T$20/12,AQ332)</f>
        <v>4.4999999999999998E-2</v>
      </c>
      <c r="AR333" s="14">
        <f t="shared" si="395"/>
        <v>316</v>
      </c>
      <c r="AS333" s="5">
        <f t="shared" si="396"/>
        <v>748903.17259602959</v>
      </c>
      <c r="AT333" s="5">
        <f t="shared" si="379"/>
        <v>-18117.07145554385</v>
      </c>
      <c r="AU333" s="5">
        <f t="shared" si="380"/>
        <v>-2808.3868972351106</v>
      </c>
      <c r="AV333" s="5">
        <f t="shared" si="397"/>
        <v>-15308.68455830874</v>
      </c>
      <c r="AW333" s="5">
        <f t="shared" si="398"/>
        <v>733594.4880377209</v>
      </c>
      <c r="AX333" s="199"/>
    </row>
    <row r="334" spans="1:50">
      <c r="A334" s="73"/>
      <c r="B334" s="572"/>
      <c r="C334" s="16">
        <f t="shared" ref="C334:C341" si="450">+C333</f>
        <v>27</v>
      </c>
      <c r="D334" s="17">
        <f t="shared" si="446"/>
        <v>5</v>
      </c>
      <c r="E334" s="18">
        <f t="shared" ca="1" si="399"/>
        <v>54027</v>
      </c>
      <c r="F334" s="10">
        <f>IF(Dashboard!$Q$5="Float",F333+Dashboard!$R$5/12,F333)</f>
        <v>0.04</v>
      </c>
      <c r="G334" s="14">
        <f t="shared" si="381"/>
        <v>317</v>
      </c>
      <c r="H334" s="5">
        <f t="shared" si="382"/>
        <v>731560.16076067928</v>
      </c>
      <c r="I334" s="5">
        <f t="shared" si="367"/>
        <v>-17903.073579954715</v>
      </c>
      <c r="J334" s="5">
        <f t="shared" si="368"/>
        <v>-2438.5338692022642</v>
      </c>
      <c r="K334" s="5">
        <f t="shared" si="383"/>
        <v>-15464.539710752451</v>
      </c>
      <c r="L334" s="5">
        <f t="shared" si="384"/>
        <v>716095.62104992685</v>
      </c>
      <c r="M334" s="199"/>
      <c r="N334" s="16">
        <f t="shared" ca="1" si="385"/>
        <v>14</v>
      </c>
      <c r="O334" s="508">
        <f t="shared" ca="1" si="369"/>
        <v>165</v>
      </c>
      <c r="P334" s="16">
        <f t="shared" ca="1" si="370"/>
        <v>14</v>
      </c>
      <c r="Q334" s="17">
        <f t="shared" si="447"/>
        <v>5</v>
      </c>
      <c r="R334" s="18">
        <f t="shared" si="400"/>
        <v>49430</v>
      </c>
      <c r="S334" s="10">
        <f t="shared" si="386"/>
        <v>0.04</v>
      </c>
      <c r="T334" s="14">
        <f t="shared" ca="1" si="387"/>
        <v>130</v>
      </c>
      <c r="U334" s="5">
        <f t="shared" ca="1" si="388"/>
        <v>384123.81294625741</v>
      </c>
      <c r="V334" s="5">
        <f t="shared" ca="1" si="371"/>
        <v>-2387.0764773272972</v>
      </c>
      <c r="W334" s="5">
        <f t="shared" ca="1" si="372"/>
        <v>-1280.412709820858</v>
      </c>
      <c r="X334" s="5">
        <f t="shared" ca="1" si="389"/>
        <v>-1106.6637675064392</v>
      </c>
      <c r="Y334" s="5">
        <f t="shared" ca="1" si="390"/>
        <v>383017.14917875099</v>
      </c>
      <c r="Z334" s="199"/>
      <c r="AA334" s="16">
        <f t="shared" ca="1" si="378"/>
        <v>27</v>
      </c>
      <c r="AB334" s="508">
        <f t="shared" ca="1" si="373"/>
        <v>316</v>
      </c>
      <c r="AC334" s="16">
        <f t="shared" ref="AC334:AC341" si="451">+AC333</f>
        <v>27</v>
      </c>
      <c r="AD334" s="17">
        <f t="shared" si="448"/>
        <v>5</v>
      </c>
      <c r="AE334" s="18">
        <f t="shared" ca="1" si="401"/>
        <v>54027</v>
      </c>
      <c r="AF334" s="10">
        <f>IF(Dashboard!$R$24="Float",AF333+Dashboard!$R$24/12,AF333)</f>
        <v>0.06</v>
      </c>
      <c r="AG334" s="14">
        <f t="shared" si="391"/>
        <v>317</v>
      </c>
      <c r="AH334" s="5">
        <f t="shared" si="392"/>
        <v>0</v>
      </c>
      <c r="AI334" s="5">
        <f t="shared" si="375"/>
        <v>0</v>
      </c>
      <c r="AJ334" s="5">
        <f t="shared" si="376"/>
        <v>0</v>
      </c>
      <c r="AK334" s="5">
        <f t="shared" si="393"/>
        <v>0</v>
      </c>
      <c r="AL334" s="5">
        <f t="shared" si="394"/>
        <v>0</v>
      </c>
      <c r="AM334" s="199"/>
      <c r="AN334" s="16">
        <f t="shared" ref="AN334:AN341" si="452">+AN333</f>
        <v>28</v>
      </c>
      <c r="AO334" s="17">
        <f t="shared" si="449"/>
        <v>5</v>
      </c>
      <c r="AP334" s="18">
        <f t="shared" ca="1" si="402"/>
        <v>54027</v>
      </c>
      <c r="AQ334" s="10">
        <f>IF(Dashboard!$S$20="Float",AQ333+Dashboard!$T$20/12,AQ333)</f>
        <v>4.4999999999999998E-2</v>
      </c>
      <c r="AR334" s="14">
        <f t="shared" si="395"/>
        <v>317</v>
      </c>
      <c r="AS334" s="5">
        <f t="shared" si="396"/>
        <v>733594.4880377209</v>
      </c>
      <c r="AT334" s="5">
        <f t="shared" si="379"/>
        <v>-18117.071455543854</v>
      </c>
      <c r="AU334" s="5">
        <f t="shared" si="380"/>
        <v>-2750.9793301414534</v>
      </c>
      <c r="AV334" s="5">
        <f t="shared" si="397"/>
        <v>-15366.0921254024</v>
      </c>
      <c r="AW334" s="5">
        <f t="shared" si="398"/>
        <v>718228.39591231849</v>
      </c>
      <c r="AX334" s="199"/>
    </row>
    <row r="335" spans="1:50">
      <c r="A335" s="73"/>
      <c r="B335" s="572"/>
      <c r="C335" s="16">
        <f t="shared" si="450"/>
        <v>27</v>
      </c>
      <c r="D335" s="17">
        <f t="shared" si="446"/>
        <v>6</v>
      </c>
      <c r="E335" s="18">
        <f t="shared" ca="1" si="399"/>
        <v>54058</v>
      </c>
      <c r="F335" s="10">
        <f>IF(Dashboard!$Q$5="Float",F334+Dashboard!$R$5/12,F334)</f>
        <v>0.04</v>
      </c>
      <c r="G335" s="14">
        <f t="shared" si="381"/>
        <v>318</v>
      </c>
      <c r="H335" s="5">
        <f t="shared" si="382"/>
        <v>716095.62104992685</v>
      </c>
      <c r="I335" s="5">
        <f t="shared" si="367"/>
        <v>-17903.073579954718</v>
      </c>
      <c r="J335" s="5">
        <f t="shared" si="368"/>
        <v>-2386.9854034997561</v>
      </c>
      <c r="K335" s="5">
        <f t="shared" si="383"/>
        <v>-15516.088176454963</v>
      </c>
      <c r="L335" s="5">
        <f t="shared" si="384"/>
        <v>700579.53287347185</v>
      </c>
      <c r="M335" s="199"/>
      <c r="N335" s="16">
        <f t="shared" ca="1" si="385"/>
        <v>14</v>
      </c>
      <c r="O335" s="508">
        <f t="shared" ca="1" si="369"/>
        <v>166</v>
      </c>
      <c r="P335" s="16">
        <f t="shared" ca="1" si="370"/>
        <v>14</v>
      </c>
      <c r="Q335" s="17">
        <f t="shared" si="447"/>
        <v>6</v>
      </c>
      <c r="R335" s="18">
        <f t="shared" si="400"/>
        <v>49461</v>
      </c>
      <c r="S335" s="10">
        <f t="shared" si="386"/>
        <v>0.04</v>
      </c>
      <c r="T335" s="14">
        <f t="shared" ca="1" si="387"/>
        <v>131</v>
      </c>
      <c r="U335" s="5">
        <f t="shared" ca="1" si="388"/>
        <v>383017.14917875099</v>
      </c>
      <c r="V335" s="5">
        <f t="shared" ca="1" si="371"/>
        <v>-2387.0764773272977</v>
      </c>
      <c r="W335" s="5">
        <f t="shared" ca="1" si="372"/>
        <v>-1276.7238305958367</v>
      </c>
      <c r="X335" s="5">
        <f t="shared" ca="1" si="389"/>
        <v>-1110.3526467314609</v>
      </c>
      <c r="Y335" s="5">
        <f t="shared" ca="1" si="390"/>
        <v>381906.79653201951</v>
      </c>
      <c r="Z335" s="199"/>
      <c r="AA335" s="16">
        <f t="shared" ca="1" si="378"/>
        <v>27</v>
      </c>
      <c r="AB335" s="508">
        <f t="shared" ca="1" si="373"/>
        <v>317</v>
      </c>
      <c r="AC335" s="16">
        <f t="shared" si="451"/>
        <v>27</v>
      </c>
      <c r="AD335" s="17">
        <f t="shared" si="448"/>
        <v>6</v>
      </c>
      <c r="AE335" s="18">
        <f t="shared" ca="1" si="401"/>
        <v>54058</v>
      </c>
      <c r="AF335" s="10">
        <f>IF(Dashboard!$R$24="Float",AF334+Dashboard!$R$24/12,AF334)</f>
        <v>0.06</v>
      </c>
      <c r="AG335" s="14">
        <f t="shared" si="391"/>
        <v>318</v>
      </c>
      <c r="AH335" s="5">
        <f t="shared" si="392"/>
        <v>0</v>
      </c>
      <c r="AI335" s="5">
        <f t="shared" si="375"/>
        <v>0</v>
      </c>
      <c r="AJ335" s="5">
        <f t="shared" si="376"/>
        <v>0</v>
      </c>
      <c r="AK335" s="5">
        <f t="shared" si="393"/>
        <v>0</v>
      </c>
      <c r="AL335" s="5">
        <f t="shared" si="394"/>
        <v>0</v>
      </c>
      <c r="AM335" s="199"/>
      <c r="AN335" s="16">
        <f t="shared" si="452"/>
        <v>28</v>
      </c>
      <c r="AO335" s="17">
        <f t="shared" si="449"/>
        <v>6</v>
      </c>
      <c r="AP335" s="18">
        <f t="shared" ca="1" si="402"/>
        <v>54058</v>
      </c>
      <c r="AQ335" s="10">
        <f>IF(Dashboard!$S$20="Float",AQ334+Dashboard!$T$20/12,AQ334)</f>
        <v>4.4999999999999998E-2</v>
      </c>
      <c r="AR335" s="14">
        <f t="shared" si="395"/>
        <v>318</v>
      </c>
      <c r="AS335" s="5">
        <f t="shared" si="396"/>
        <v>718228.39591231849</v>
      </c>
      <c r="AT335" s="5">
        <f t="shared" si="379"/>
        <v>-18117.07145554385</v>
      </c>
      <c r="AU335" s="5">
        <f t="shared" si="380"/>
        <v>-2693.3564846711943</v>
      </c>
      <c r="AV335" s="5">
        <f t="shared" si="397"/>
        <v>-15423.714970872656</v>
      </c>
      <c r="AW335" s="5">
        <f t="shared" si="398"/>
        <v>702804.68094144587</v>
      </c>
      <c r="AX335" s="199"/>
    </row>
    <row r="336" spans="1:50">
      <c r="A336" s="73"/>
      <c r="B336" s="572"/>
      <c r="C336" s="16">
        <f t="shared" si="450"/>
        <v>27</v>
      </c>
      <c r="D336" s="17">
        <f t="shared" si="446"/>
        <v>7</v>
      </c>
      <c r="E336" s="18">
        <f t="shared" ca="1" si="399"/>
        <v>54089</v>
      </c>
      <c r="F336" s="10">
        <f>IF(Dashboard!$Q$5="Float",F335+Dashboard!$R$5/12,F335)</f>
        <v>0.04</v>
      </c>
      <c r="G336" s="14">
        <f t="shared" si="381"/>
        <v>319</v>
      </c>
      <c r="H336" s="5">
        <f t="shared" si="382"/>
        <v>700579.53287347185</v>
      </c>
      <c r="I336" s="5">
        <f t="shared" si="367"/>
        <v>-17903.073579954718</v>
      </c>
      <c r="J336" s="5">
        <f t="shared" si="368"/>
        <v>-2335.2651095782398</v>
      </c>
      <c r="K336" s="5">
        <f t="shared" si="383"/>
        <v>-15567.808470376478</v>
      </c>
      <c r="L336" s="5">
        <f t="shared" si="384"/>
        <v>685011.72440309532</v>
      </c>
      <c r="M336" s="199"/>
      <c r="N336" s="16">
        <f t="shared" ca="1" si="385"/>
        <v>14</v>
      </c>
      <c r="O336" s="508">
        <f t="shared" ca="1" si="369"/>
        <v>167</v>
      </c>
      <c r="P336" s="16">
        <f t="shared" ca="1" si="370"/>
        <v>14</v>
      </c>
      <c r="Q336" s="17">
        <f t="shared" si="447"/>
        <v>7</v>
      </c>
      <c r="R336" s="18">
        <f t="shared" si="400"/>
        <v>49491</v>
      </c>
      <c r="S336" s="10">
        <f t="shared" si="386"/>
        <v>0.04</v>
      </c>
      <c r="T336" s="14">
        <f t="shared" ca="1" si="387"/>
        <v>132</v>
      </c>
      <c r="U336" s="5">
        <f t="shared" ca="1" si="388"/>
        <v>381906.79653201951</v>
      </c>
      <c r="V336" s="5">
        <f t="shared" ca="1" si="371"/>
        <v>-2387.0764773272977</v>
      </c>
      <c r="W336" s="5">
        <f t="shared" ca="1" si="372"/>
        <v>-1273.0226551067317</v>
      </c>
      <c r="X336" s="5">
        <f t="shared" ca="1" si="389"/>
        <v>-1114.053822220566</v>
      </c>
      <c r="Y336" s="5">
        <f t="shared" ca="1" si="390"/>
        <v>380792.74270979891</v>
      </c>
      <c r="Z336" s="199"/>
      <c r="AA336" s="16">
        <f t="shared" ca="1" si="378"/>
        <v>27</v>
      </c>
      <c r="AB336" s="508">
        <f t="shared" ca="1" si="373"/>
        <v>318</v>
      </c>
      <c r="AC336" s="16">
        <f t="shared" si="451"/>
        <v>27</v>
      </c>
      <c r="AD336" s="17">
        <f t="shared" si="448"/>
        <v>7</v>
      </c>
      <c r="AE336" s="18">
        <f t="shared" ca="1" si="401"/>
        <v>54089</v>
      </c>
      <c r="AF336" s="10">
        <f>IF(Dashboard!$R$24="Float",AF335+Dashboard!$R$24/12,AF335)</f>
        <v>0.06</v>
      </c>
      <c r="AG336" s="14">
        <f t="shared" si="391"/>
        <v>319</v>
      </c>
      <c r="AH336" s="5">
        <f t="shared" si="392"/>
        <v>0</v>
      </c>
      <c r="AI336" s="5">
        <f t="shared" si="375"/>
        <v>0</v>
      </c>
      <c r="AJ336" s="5">
        <f t="shared" si="376"/>
        <v>0</v>
      </c>
      <c r="AK336" s="5">
        <f t="shared" si="393"/>
        <v>0</v>
      </c>
      <c r="AL336" s="5">
        <f t="shared" si="394"/>
        <v>0</v>
      </c>
      <c r="AM336" s="199"/>
      <c r="AN336" s="16">
        <f t="shared" si="452"/>
        <v>28</v>
      </c>
      <c r="AO336" s="17">
        <f t="shared" si="449"/>
        <v>7</v>
      </c>
      <c r="AP336" s="18">
        <f t="shared" ca="1" si="402"/>
        <v>54089</v>
      </c>
      <c r="AQ336" s="10">
        <f>IF(Dashboard!$S$20="Float",AQ335+Dashboard!$T$20/12,AQ335)</f>
        <v>4.4999999999999998E-2</v>
      </c>
      <c r="AR336" s="14">
        <f t="shared" si="395"/>
        <v>319</v>
      </c>
      <c r="AS336" s="5">
        <f t="shared" si="396"/>
        <v>702804.68094144587</v>
      </c>
      <c r="AT336" s="5">
        <f t="shared" si="379"/>
        <v>-18117.07145554385</v>
      </c>
      <c r="AU336" s="5">
        <f t="shared" si="380"/>
        <v>-2635.517553530422</v>
      </c>
      <c r="AV336" s="5">
        <f t="shared" si="397"/>
        <v>-15481.553902013427</v>
      </c>
      <c r="AW336" s="5">
        <f t="shared" si="398"/>
        <v>687323.12703943241</v>
      </c>
      <c r="AX336" s="199"/>
    </row>
    <row r="337" spans="1:50">
      <c r="A337" s="73"/>
      <c r="B337" s="572"/>
      <c r="C337" s="16">
        <f t="shared" si="450"/>
        <v>27</v>
      </c>
      <c r="D337" s="17">
        <f t="shared" si="446"/>
        <v>8</v>
      </c>
      <c r="E337" s="18">
        <f t="shared" ca="1" si="399"/>
        <v>54118</v>
      </c>
      <c r="F337" s="10">
        <f>IF(Dashboard!$Q$5="Float",F336+Dashboard!$R$5/12,F336)</f>
        <v>0.04</v>
      </c>
      <c r="G337" s="14">
        <f t="shared" si="381"/>
        <v>320</v>
      </c>
      <c r="H337" s="5">
        <f t="shared" si="382"/>
        <v>685011.72440309532</v>
      </c>
      <c r="I337" s="5">
        <f t="shared" si="367"/>
        <v>-17903.073579954715</v>
      </c>
      <c r="J337" s="5">
        <f t="shared" si="368"/>
        <v>-2283.3724146769841</v>
      </c>
      <c r="K337" s="5">
        <f t="shared" si="383"/>
        <v>-15619.701165277731</v>
      </c>
      <c r="L337" s="5">
        <f t="shared" si="384"/>
        <v>669392.02323781757</v>
      </c>
      <c r="M337" s="199"/>
      <c r="N337" s="16">
        <f t="shared" ca="1" si="385"/>
        <v>14</v>
      </c>
      <c r="O337" s="508">
        <f t="shared" ca="1" si="369"/>
        <v>168</v>
      </c>
      <c r="P337" s="16">
        <f t="shared" ca="1" si="370"/>
        <v>15</v>
      </c>
      <c r="Q337" s="17">
        <f t="shared" si="447"/>
        <v>8</v>
      </c>
      <c r="R337" s="18">
        <f t="shared" si="400"/>
        <v>49522</v>
      </c>
      <c r="S337" s="10">
        <f t="shared" si="386"/>
        <v>0.04</v>
      </c>
      <c r="T337" s="14">
        <f t="shared" ca="1" si="387"/>
        <v>133</v>
      </c>
      <c r="U337" s="5">
        <f t="shared" ca="1" si="388"/>
        <v>380792.74270979891</v>
      </c>
      <c r="V337" s="5">
        <f t="shared" ca="1" si="371"/>
        <v>-2387.0764773272977</v>
      </c>
      <c r="W337" s="5">
        <f t="shared" ca="1" si="372"/>
        <v>-1269.3091423659964</v>
      </c>
      <c r="X337" s="5">
        <f t="shared" ca="1" si="389"/>
        <v>-1117.7673349613012</v>
      </c>
      <c r="Y337" s="5">
        <f t="shared" ca="1" si="390"/>
        <v>379674.97537483764</v>
      </c>
      <c r="Z337" s="199"/>
      <c r="AA337" s="16">
        <f t="shared" ca="1" si="378"/>
        <v>27</v>
      </c>
      <c r="AB337" s="508">
        <f t="shared" ca="1" si="373"/>
        <v>319</v>
      </c>
      <c r="AC337" s="16">
        <f t="shared" si="451"/>
        <v>27</v>
      </c>
      <c r="AD337" s="17">
        <f t="shared" si="448"/>
        <v>8</v>
      </c>
      <c r="AE337" s="18">
        <f t="shared" ca="1" si="401"/>
        <v>54118</v>
      </c>
      <c r="AF337" s="10">
        <f>IF(Dashboard!$R$24="Float",AF336+Dashboard!$R$24/12,AF336)</f>
        <v>0.06</v>
      </c>
      <c r="AG337" s="14">
        <f t="shared" si="391"/>
        <v>320</v>
      </c>
      <c r="AH337" s="5">
        <f t="shared" si="392"/>
        <v>0</v>
      </c>
      <c r="AI337" s="5">
        <f t="shared" si="375"/>
        <v>0</v>
      </c>
      <c r="AJ337" s="5">
        <f t="shared" si="376"/>
        <v>0</v>
      </c>
      <c r="AK337" s="5">
        <f t="shared" si="393"/>
        <v>0</v>
      </c>
      <c r="AL337" s="5">
        <f t="shared" si="394"/>
        <v>0</v>
      </c>
      <c r="AM337" s="199"/>
      <c r="AN337" s="16">
        <f t="shared" si="452"/>
        <v>28</v>
      </c>
      <c r="AO337" s="17">
        <f t="shared" si="449"/>
        <v>8</v>
      </c>
      <c r="AP337" s="18">
        <f t="shared" ca="1" si="402"/>
        <v>54118</v>
      </c>
      <c r="AQ337" s="10">
        <f>IF(Dashboard!$S$20="Float",AQ336+Dashboard!$T$20/12,AQ336)</f>
        <v>4.4999999999999998E-2</v>
      </c>
      <c r="AR337" s="14">
        <f t="shared" si="395"/>
        <v>320</v>
      </c>
      <c r="AS337" s="5">
        <f t="shared" si="396"/>
        <v>687323.12703943241</v>
      </c>
      <c r="AT337" s="5">
        <f t="shared" si="379"/>
        <v>-18117.07145554385</v>
      </c>
      <c r="AU337" s="5">
        <f t="shared" si="380"/>
        <v>-2577.4617263978712</v>
      </c>
      <c r="AV337" s="5">
        <f t="shared" si="397"/>
        <v>-15539.609729145979</v>
      </c>
      <c r="AW337" s="5">
        <f t="shared" si="398"/>
        <v>671783.51731028641</v>
      </c>
      <c r="AX337" s="199"/>
    </row>
    <row r="338" spans="1:50">
      <c r="A338" s="73"/>
      <c r="B338" s="572"/>
      <c r="C338" s="16">
        <f t="shared" si="450"/>
        <v>27</v>
      </c>
      <c r="D338" s="17">
        <f t="shared" si="446"/>
        <v>9</v>
      </c>
      <c r="E338" s="18">
        <f t="shared" ca="1" si="399"/>
        <v>54149</v>
      </c>
      <c r="F338" s="10">
        <f>IF(Dashboard!$Q$5="Float",F337+Dashboard!$R$5/12,F337)</f>
        <v>0.04</v>
      </c>
      <c r="G338" s="14">
        <f t="shared" si="381"/>
        <v>321</v>
      </c>
      <c r="H338" s="5">
        <f t="shared" si="382"/>
        <v>669392.02323781757</v>
      </c>
      <c r="I338" s="5">
        <f t="shared" ref="I338:I401" si="453">+IFERROR(IF(C338&gt;D$6,PMT(LOOKUP(C338,$C$18:$C$497,F$18:F$497)/12,D$5+1-G338,H338),-H338*LOOKUP(C338,C$18:C$497,F$18:F$497)/12),0)</f>
        <v>-17903.073579954715</v>
      </c>
      <c r="J338" s="5">
        <f t="shared" ref="J338:J401" si="454">-H338*LOOKUP(C338,C$18:C$497,F$18:F$497)/12</f>
        <v>-2231.3067441260587</v>
      </c>
      <c r="K338" s="5">
        <f t="shared" si="383"/>
        <v>-15671.766835828656</v>
      </c>
      <c r="L338" s="5">
        <f t="shared" si="384"/>
        <v>653720.25640198891</v>
      </c>
      <c r="M338" s="199"/>
      <c r="N338" s="16">
        <f t="shared" ca="1" si="385"/>
        <v>15</v>
      </c>
      <c r="O338" s="508">
        <f t="shared" ref="O338:O401" ca="1" si="455">+IF(CDate&gt;=$R338,0,IF(O337&gt;0,O337+1,1))</f>
        <v>169</v>
      </c>
      <c r="P338" s="16">
        <f t="shared" ref="P338:P401" ca="1" si="456">+IFERROR(LOOKUP($R338,$E$18:$E$497,$C$18:$C$497),0)</f>
        <v>15</v>
      </c>
      <c r="Q338" s="17">
        <f t="shared" si="447"/>
        <v>9</v>
      </c>
      <c r="R338" s="18">
        <f t="shared" si="400"/>
        <v>49553</v>
      </c>
      <c r="S338" s="10">
        <f t="shared" si="386"/>
        <v>0.04</v>
      </c>
      <c r="T338" s="14">
        <f t="shared" ca="1" si="387"/>
        <v>134</v>
      </c>
      <c r="U338" s="5">
        <f t="shared" ca="1" si="388"/>
        <v>379674.97537483764</v>
      </c>
      <c r="V338" s="5">
        <f t="shared" ref="V338:V401" ca="1" si="457">+IFERROR(IF(P338&gt;Q$6,PMT(LOOKUP(P338,$C$18:$C$497,S$18:S$497)/12,Q$5+1-T338,U338),-U338*LOOKUP(P338,P$18:P$497,S$18:S$497)/12),0)</f>
        <v>-2387.0764773272972</v>
      </c>
      <c r="W338" s="5">
        <f t="shared" ref="W338:W401" ca="1" si="458">-U338*LOOKUP(P338,P$18:P$497,S$18:S$497)/12</f>
        <v>-1265.5832512494587</v>
      </c>
      <c r="X338" s="5">
        <f t="shared" ca="1" si="389"/>
        <v>-1121.4932260778385</v>
      </c>
      <c r="Y338" s="5">
        <f t="shared" ca="1" si="390"/>
        <v>378553.48214875982</v>
      </c>
      <c r="Z338" s="199"/>
      <c r="AA338" s="16">
        <f t="shared" ca="1" si="378"/>
        <v>27</v>
      </c>
      <c r="AB338" s="508">
        <f t="shared" ref="AB338:AB401" ca="1" si="459">+IF(CDate&gt;=$AE338,0,IF(AB337&gt;0,AB337+1,1))</f>
        <v>320</v>
      </c>
      <c r="AC338" s="16">
        <f t="shared" si="451"/>
        <v>27</v>
      </c>
      <c r="AD338" s="17">
        <f t="shared" si="448"/>
        <v>9</v>
      </c>
      <c r="AE338" s="18">
        <f t="shared" ca="1" si="401"/>
        <v>54149</v>
      </c>
      <c r="AF338" s="10">
        <f>IF(Dashboard!$R$24="Float",AF337+Dashboard!$R$24/12,AF337)</f>
        <v>0.06</v>
      </c>
      <c r="AG338" s="14">
        <f t="shared" si="391"/>
        <v>321</v>
      </c>
      <c r="AH338" s="5">
        <f t="shared" si="392"/>
        <v>0</v>
      </c>
      <c r="AI338" s="5">
        <f t="shared" ref="AI338:AI401" si="460">+IFERROR(IF(AC338&gt;AD$6,PMT(LOOKUP(AC338,$C$18:$C$497,AF$18:AF$497)/12,AD$5+1-AG338,AH338),-AH338*LOOKUP(AC338,AC$18:AC$497,AF$18:AF$497)/12),0)</f>
        <v>0</v>
      </c>
      <c r="AJ338" s="5">
        <f t="shared" ref="AJ338:AJ401" si="461">-AH338*LOOKUP(AC338,AC$18:AC$497,AF$18:AF$497)/12</f>
        <v>0</v>
      </c>
      <c r="AK338" s="5">
        <f t="shared" si="393"/>
        <v>0</v>
      </c>
      <c r="AL338" s="5">
        <f t="shared" si="394"/>
        <v>0</v>
      </c>
      <c r="AM338" s="199"/>
      <c r="AN338" s="16">
        <f t="shared" si="452"/>
        <v>28</v>
      </c>
      <c r="AO338" s="17">
        <f t="shared" si="449"/>
        <v>9</v>
      </c>
      <c r="AP338" s="18">
        <f t="shared" ca="1" si="402"/>
        <v>54149</v>
      </c>
      <c r="AQ338" s="10">
        <f>IF(Dashboard!$S$20="Float",AQ337+Dashboard!$T$20/12,AQ337)</f>
        <v>4.4999999999999998E-2</v>
      </c>
      <c r="AR338" s="14">
        <f t="shared" si="395"/>
        <v>321</v>
      </c>
      <c r="AS338" s="5">
        <f t="shared" si="396"/>
        <v>671783.51731028641</v>
      </c>
      <c r="AT338" s="5">
        <f t="shared" si="379"/>
        <v>-18117.07145554385</v>
      </c>
      <c r="AU338" s="5">
        <f t="shared" si="380"/>
        <v>-2519.1881899135738</v>
      </c>
      <c r="AV338" s="5">
        <f t="shared" si="397"/>
        <v>-15597.883265630277</v>
      </c>
      <c r="AW338" s="5">
        <f t="shared" si="398"/>
        <v>656185.63404465618</v>
      </c>
      <c r="AX338" s="199"/>
    </row>
    <row r="339" spans="1:50">
      <c r="A339" s="73"/>
      <c r="B339" s="572"/>
      <c r="C339" s="16">
        <f t="shared" si="450"/>
        <v>27</v>
      </c>
      <c r="D339" s="17">
        <f t="shared" si="446"/>
        <v>10</v>
      </c>
      <c r="E339" s="18">
        <f t="shared" ca="1" si="399"/>
        <v>54179</v>
      </c>
      <c r="F339" s="10">
        <f>IF(Dashboard!$Q$5="Float",F338+Dashboard!$R$5/12,F338)</f>
        <v>0.04</v>
      </c>
      <c r="G339" s="14">
        <f t="shared" si="381"/>
        <v>322</v>
      </c>
      <c r="H339" s="5">
        <f t="shared" si="382"/>
        <v>653720.25640198891</v>
      </c>
      <c r="I339" s="5">
        <f t="shared" si="453"/>
        <v>-17903.073579954715</v>
      </c>
      <c r="J339" s="5">
        <f t="shared" si="454"/>
        <v>-2179.0675213399632</v>
      </c>
      <c r="K339" s="5">
        <f t="shared" si="383"/>
        <v>-15724.006058614752</v>
      </c>
      <c r="L339" s="5">
        <f t="shared" si="384"/>
        <v>637996.25034337421</v>
      </c>
      <c r="M339" s="199"/>
      <c r="N339" s="16">
        <f t="shared" ca="1" si="385"/>
        <v>15</v>
      </c>
      <c r="O339" s="508">
        <f t="shared" ca="1" si="455"/>
        <v>170</v>
      </c>
      <c r="P339" s="16">
        <f t="shared" ca="1" si="456"/>
        <v>15</v>
      </c>
      <c r="Q339" s="17">
        <f t="shared" si="447"/>
        <v>10</v>
      </c>
      <c r="R339" s="18">
        <f t="shared" si="400"/>
        <v>49583</v>
      </c>
      <c r="S339" s="10">
        <f t="shared" si="386"/>
        <v>0.04</v>
      </c>
      <c r="T339" s="14">
        <f t="shared" ca="1" si="387"/>
        <v>135</v>
      </c>
      <c r="U339" s="5">
        <f t="shared" ca="1" si="388"/>
        <v>378553.48214875982</v>
      </c>
      <c r="V339" s="5">
        <f t="shared" ca="1" si="457"/>
        <v>-2387.0764773272972</v>
      </c>
      <c r="W339" s="5">
        <f t="shared" ca="1" si="458"/>
        <v>-1261.8449404958662</v>
      </c>
      <c r="X339" s="5">
        <f t="shared" ca="1" si="389"/>
        <v>-1125.231536831431</v>
      </c>
      <c r="Y339" s="5">
        <f t="shared" ca="1" si="390"/>
        <v>377428.25061192841</v>
      </c>
      <c r="Z339" s="199"/>
      <c r="AA339" s="16">
        <f t="shared" ref="AA339:AA402" ca="1" si="462">+ROUNDUP(AB339/12,0)</f>
        <v>27</v>
      </c>
      <c r="AB339" s="508">
        <f t="shared" ca="1" si="459"/>
        <v>321</v>
      </c>
      <c r="AC339" s="16">
        <f t="shared" si="451"/>
        <v>27</v>
      </c>
      <c r="AD339" s="17">
        <f t="shared" si="448"/>
        <v>10</v>
      </c>
      <c r="AE339" s="18">
        <f t="shared" ca="1" si="401"/>
        <v>54179</v>
      </c>
      <c r="AF339" s="10">
        <f>IF(Dashboard!$R$24="Float",AF338+Dashboard!$R$24/12,AF338)</f>
        <v>0.06</v>
      </c>
      <c r="AG339" s="14">
        <f t="shared" si="391"/>
        <v>322</v>
      </c>
      <c r="AH339" s="5">
        <f t="shared" si="392"/>
        <v>0</v>
      </c>
      <c r="AI339" s="5">
        <f t="shared" si="460"/>
        <v>0</v>
      </c>
      <c r="AJ339" s="5">
        <f t="shared" si="461"/>
        <v>0</v>
      </c>
      <c r="AK339" s="5">
        <f t="shared" si="393"/>
        <v>0</v>
      </c>
      <c r="AL339" s="5">
        <f t="shared" si="394"/>
        <v>0</v>
      </c>
      <c r="AM339" s="199"/>
      <c r="AN339" s="16">
        <f t="shared" si="452"/>
        <v>28</v>
      </c>
      <c r="AO339" s="17">
        <f t="shared" si="449"/>
        <v>10</v>
      </c>
      <c r="AP339" s="18">
        <f t="shared" ca="1" si="402"/>
        <v>54179</v>
      </c>
      <c r="AQ339" s="10">
        <f>IF(Dashboard!$S$20="Float",AQ338+Dashboard!$T$20/12,AQ338)</f>
        <v>4.4999999999999998E-2</v>
      </c>
      <c r="AR339" s="14">
        <f t="shared" si="395"/>
        <v>322</v>
      </c>
      <c r="AS339" s="5">
        <f t="shared" si="396"/>
        <v>656185.63404465618</v>
      </c>
      <c r="AT339" s="5">
        <f t="shared" ref="AT339:AT402" si="463">+IFERROR(IF(AN339&gt;AO$6+$AT$5-1,PMT(LOOKUP(AN339,$AT$5:$AT$15,$AU$5:$AU$15)/12,$AO$5+1-AR339,AS339),-AS339*LOOKUP(AN339,AN$18:AN$497,AQ$18:AQ$497)/12),0)</f>
        <v>-18117.071455543854</v>
      </c>
      <c r="AU339" s="5">
        <f t="shared" ref="AU339:AU402" si="464">-AS339*LOOKUP(AN339,$AT$5:$AT$15,$AU$5:$AU$15)/12</f>
        <v>-2460.6961276674606</v>
      </c>
      <c r="AV339" s="5">
        <f t="shared" si="397"/>
        <v>-15656.375327876392</v>
      </c>
      <c r="AW339" s="5">
        <f t="shared" si="398"/>
        <v>640529.25871677976</v>
      </c>
      <c r="AX339" s="199"/>
    </row>
    <row r="340" spans="1:50">
      <c r="A340" s="73"/>
      <c r="B340" s="572"/>
      <c r="C340" s="16">
        <f t="shared" si="450"/>
        <v>27</v>
      </c>
      <c r="D340" s="17">
        <f t="shared" si="446"/>
        <v>11</v>
      </c>
      <c r="E340" s="18">
        <f t="shared" ca="1" si="399"/>
        <v>54210</v>
      </c>
      <c r="F340" s="10">
        <f>IF(Dashboard!$Q$5="Float",F339+Dashboard!$R$5/12,F339)</f>
        <v>0.04</v>
      </c>
      <c r="G340" s="14">
        <f t="shared" ref="G340:G403" si="465">+IF(G339="I/O",IF(C340&lt;=D$6,"I/O",1),G339+1)</f>
        <v>323</v>
      </c>
      <c r="H340" s="5">
        <f t="shared" ref="H340:H403" si="466">+L339</f>
        <v>637996.25034337421</v>
      </c>
      <c r="I340" s="5">
        <f t="shared" si="453"/>
        <v>-17903.073579954715</v>
      </c>
      <c r="J340" s="5">
        <f t="shared" si="454"/>
        <v>-2126.6541678112476</v>
      </c>
      <c r="K340" s="5">
        <f t="shared" ref="K340:K403" si="467">+I340-J340</f>
        <v>-15776.419412143467</v>
      </c>
      <c r="L340" s="5">
        <f t="shared" ref="L340:L403" si="468">IFERROR(H340+K340,0)</f>
        <v>622219.8309312308</v>
      </c>
      <c r="M340" s="199"/>
      <c r="N340" s="16">
        <f t="shared" ref="N340:N403" ca="1" si="469">+ROUNDUP(O340/12,0)</f>
        <v>15</v>
      </c>
      <c r="O340" s="508">
        <f t="shared" ca="1" si="455"/>
        <v>171</v>
      </c>
      <c r="P340" s="16">
        <f t="shared" ca="1" si="456"/>
        <v>15</v>
      </c>
      <c r="Q340" s="17">
        <f t="shared" si="447"/>
        <v>11</v>
      </c>
      <c r="R340" s="18">
        <f t="shared" si="400"/>
        <v>49614</v>
      </c>
      <c r="S340" s="10">
        <f t="shared" ref="S340:S403" si="470">+S339</f>
        <v>0.04</v>
      </c>
      <c r="T340" s="14">
        <f t="shared" ref="T340:T403" ca="1" si="471">+IF(T339="I/O",IF(P340&lt;=Q$6,"I/O",1),T339+1)</f>
        <v>136</v>
      </c>
      <c r="U340" s="5">
        <f t="shared" ref="U340:U403" ca="1" si="472">+Y339</f>
        <v>377428.25061192841</v>
      </c>
      <c r="V340" s="5">
        <f t="shared" ca="1" si="457"/>
        <v>-2387.0764773272981</v>
      </c>
      <c r="W340" s="5">
        <f t="shared" ca="1" si="458"/>
        <v>-1258.094168706428</v>
      </c>
      <c r="X340" s="5">
        <f t="shared" ref="X340:X403" ca="1" si="473">+V340-W340</f>
        <v>-1128.9823086208701</v>
      </c>
      <c r="Y340" s="5">
        <f t="shared" ref="Y340:Y403" ca="1" si="474">IFERROR(U340+X340,0)</f>
        <v>376299.26830330753</v>
      </c>
      <c r="Z340" s="199"/>
      <c r="AA340" s="16">
        <f t="shared" ca="1" si="462"/>
        <v>27</v>
      </c>
      <c r="AB340" s="508">
        <f t="shared" ca="1" si="459"/>
        <v>322</v>
      </c>
      <c r="AC340" s="16">
        <f t="shared" si="451"/>
        <v>27</v>
      </c>
      <c r="AD340" s="17">
        <f t="shared" si="448"/>
        <v>11</v>
      </c>
      <c r="AE340" s="18">
        <f t="shared" ca="1" si="401"/>
        <v>54210</v>
      </c>
      <c r="AF340" s="10">
        <f>IF(Dashboard!$R$24="Float",AF339+Dashboard!$R$24/12,AF339)</f>
        <v>0.06</v>
      </c>
      <c r="AG340" s="14">
        <f t="shared" ref="AG340:AG403" si="475">+IF(AG339="I/O",IF(AC340&lt;=AD$6,"I/O",1),AG339+1)</f>
        <v>323</v>
      </c>
      <c r="AH340" s="5">
        <f t="shared" ref="AH340:AH403" si="476">+AL339</f>
        <v>0</v>
      </c>
      <c r="AI340" s="5">
        <f t="shared" si="460"/>
        <v>0</v>
      </c>
      <c r="AJ340" s="5">
        <f t="shared" si="461"/>
        <v>0</v>
      </c>
      <c r="AK340" s="5">
        <f t="shared" ref="AK340:AK403" si="477">+AI340-AJ340</f>
        <v>0</v>
      </c>
      <c r="AL340" s="5">
        <f t="shared" ref="AL340:AL403" si="478">IFERROR(AH340+AK340,0)</f>
        <v>0</v>
      </c>
      <c r="AM340" s="199"/>
      <c r="AN340" s="16">
        <f t="shared" si="452"/>
        <v>28</v>
      </c>
      <c r="AO340" s="17">
        <f t="shared" si="449"/>
        <v>11</v>
      </c>
      <c r="AP340" s="18">
        <f t="shared" ca="1" si="402"/>
        <v>54210</v>
      </c>
      <c r="AQ340" s="10">
        <f>IF(Dashboard!$S$20="Float",AQ339+Dashboard!$T$20/12,AQ339)</f>
        <v>4.4999999999999998E-2</v>
      </c>
      <c r="AR340" s="14">
        <f t="shared" ref="AR340:AR403" si="479">+IF(AR339="I/O",IF(AN340&lt;=AO$6,"I/O",1),AR339+1)</f>
        <v>323</v>
      </c>
      <c r="AS340" s="5">
        <f t="shared" ref="AS340:AS403" si="480">+AW339</f>
        <v>640529.25871677976</v>
      </c>
      <c r="AT340" s="5">
        <f t="shared" si="463"/>
        <v>-18117.07145554385</v>
      </c>
      <c r="AU340" s="5">
        <f t="shared" si="464"/>
        <v>-2401.9847201879243</v>
      </c>
      <c r="AV340" s="5">
        <f t="shared" ref="AV340:AV403" si="481">+AT340-AU340</f>
        <v>-15715.086735355926</v>
      </c>
      <c r="AW340" s="5">
        <f t="shared" ref="AW340:AW403" si="482">IFERROR(AS340+AV340,0)</f>
        <v>624814.17198142386</v>
      </c>
      <c r="AX340" s="199"/>
    </row>
    <row r="341" spans="1:50">
      <c r="A341" s="73"/>
      <c r="B341" s="572"/>
      <c r="C341" s="16">
        <f t="shared" si="450"/>
        <v>27</v>
      </c>
      <c r="D341" s="17">
        <f t="shared" si="446"/>
        <v>12</v>
      </c>
      <c r="E341" s="18">
        <f t="shared" ref="E341:E404" ca="1" si="483">+EDATE(E340,1)</f>
        <v>54240</v>
      </c>
      <c r="F341" s="10">
        <f>IF(Dashboard!$Q$5="Float",F340+Dashboard!$R$5/12,F340)</f>
        <v>0.04</v>
      </c>
      <c r="G341" s="14">
        <f t="shared" si="465"/>
        <v>324</v>
      </c>
      <c r="H341" s="5">
        <f t="shared" si="466"/>
        <v>622219.8309312308</v>
      </c>
      <c r="I341" s="5">
        <f t="shared" si="453"/>
        <v>-17903.073579954718</v>
      </c>
      <c r="J341" s="5">
        <f t="shared" si="454"/>
        <v>-2074.0661031041027</v>
      </c>
      <c r="K341" s="5">
        <f t="shared" si="467"/>
        <v>-15829.007476850617</v>
      </c>
      <c r="L341" s="5">
        <f t="shared" si="468"/>
        <v>606390.82345438015</v>
      </c>
      <c r="M341" s="199"/>
      <c r="N341" s="16">
        <f t="shared" ca="1" si="469"/>
        <v>15</v>
      </c>
      <c r="O341" s="508">
        <f t="shared" ca="1" si="455"/>
        <v>172</v>
      </c>
      <c r="P341" s="16">
        <f t="shared" ca="1" si="456"/>
        <v>15</v>
      </c>
      <c r="Q341" s="17">
        <f t="shared" si="447"/>
        <v>12</v>
      </c>
      <c r="R341" s="18">
        <f t="shared" ref="R341:R404" si="484">+EDATE(R340,1)</f>
        <v>49644</v>
      </c>
      <c r="S341" s="10">
        <f t="shared" si="470"/>
        <v>0.04</v>
      </c>
      <c r="T341" s="14">
        <f t="shared" ca="1" si="471"/>
        <v>137</v>
      </c>
      <c r="U341" s="5">
        <f t="shared" ca="1" si="472"/>
        <v>376299.26830330753</v>
      </c>
      <c r="V341" s="5">
        <f t="shared" ca="1" si="457"/>
        <v>-2387.0764773272981</v>
      </c>
      <c r="W341" s="5">
        <f t="shared" ca="1" si="458"/>
        <v>-1254.3308943443585</v>
      </c>
      <c r="X341" s="5">
        <f t="shared" ca="1" si="473"/>
        <v>-1132.7455829829396</v>
      </c>
      <c r="Y341" s="5">
        <f t="shared" ca="1" si="474"/>
        <v>375166.52272032457</v>
      </c>
      <c r="Z341" s="199"/>
      <c r="AA341" s="16">
        <f t="shared" ca="1" si="462"/>
        <v>27</v>
      </c>
      <c r="AB341" s="508">
        <f t="shared" ca="1" si="459"/>
        <v>323</v>
      </c>
      <c r="AC341" s="16">
        <f t="shared" si="451"/>
        <v>27</v>
      </c>
      <c r="AD341" s="17">
        <f t="shared" si="448"/>
        <v>12</v>
      </c>
      <c r="AE341" s="18">
        <f t="shared" ref="AE341:AE404" ca="1" si="485">+EDATE(AE340,1)</f>
        <v>54240</v>
      </c>
      <c r="AF341" s="10">
        <f>IF(Dashboard!$R$24="Float",AF340+Dashboard!$R$24/12,AF340)</f>
        <v>0.06</v>
      </c>
      <c r="AG341" s="14">
        <f t="shared" si="475"/>
        <v>324</v>
      </c>
      <c r="AH341" s="5">
        <f t="shared" si="476"/>
        <v>0</v>
      </c>
      <c r="AI341" s="5">
        <f t="shared" si="460"/>
        <v>0</v>
      </c>
      <c r="AJ341" s="5">
        <f t="shared" si="461"/>
        <v>0</v>
      </c>
      <c r="AK341" s="5">
        <f t="shared" si="477"/>
        <v>0</v>
      </c>
      <c r="AL341" s="5">
        <f t="shared" si="478"/>
        <v>0</v>
      </c>
      <c r="AM341" s="199"/>
      <c r="AN341" s="16">
        <f t="shared" si="452"/>
        <v>28</v>
      </c>
      <c r="AO341" s="17">
        <f t="shared" si="449"/>
        <v>12</v>
      </c>
      <c r="AP341" s="18">
        <f t="shared" ref="AP341:AP404" ca="1" si="486">+EDATE(AP340,1)</f>
        <v>54240</v>
      </c>
      <c r="AQ341" s="10">
        <f>IF(Dashboard!$S$20="Float",AQ340+Dashboard!$T$20/12,AQ340)</f>
        <v>4.4999999999999998E-2</v>
      </c>
      <c r="AR341" s="14">
        <f t="shared" si="479"/>
        <v>324</v>
      </c>
      <c r="AS341" s="5">
        <f t="shared" si="480"/>
        <v>624814.17198142386</v>
      </c>
      <c r="AT341" s="5">
        <f t="shared" si="463"/>
        <v>-18117.07145554385</v>
      </c>
      <c r="AU341" s="5">
        <f t="shared" si="464"/>
        <v>-2343.0531449303394</v>
      </c>
      <c r="AV341" s="5">
        <f t="shared" si="481"/>
        <v>-15774.01831061351</v>
      </c>
      <c r="AW341" s="5">
        <f t="shared" si="482"/>
        <v>609040.1536708104</v>
      </c>
      <c r="AX341" s="199"/>
    </row>
    <row r="342" spans="1:50" ht="12.75" customHeight="1">
      <c r="A342" s="73"/>
      <c r="B342" s="570">
        <f>+C342</f>
        <v>28</v>
      </c>
      <c r="C342" s="200">
        <f t="shared" ref="C342" si="487">+C341+1</f>
        <v>28</v>
      </c>
      <c r="D342" s="201">
        <v>1</v>
      </c>
      <c r="E342" s="202">
        <f t="shared" ca="1" si="483"/>
        <v>54271</v>
      </c>
      <c r="F342" s="203">
        <f>IF(Dashboard!$Q$5="Float",F341+Dashboard!$R$5/12,F341)</f>
        <v>0.04</v>
      </c>
      <c r="G342" s="204">
        <f t="shared" si="465"/>
        <v>325</v>
      </c>
      <c r="H342" s="205">
        <f t="shared" si="466"/>
        <v>606390.82345438015</v>
      </c>
      <c r="I342" s="205">
        <f t="shared" si="453"/>
        <v>-17903.073579954715</v>
      </c>
      <c r="J342" s="205">
        <f t="shared" si="454"/>
        <v>-2021.302744847934</v>
      </c>
      <c r="K342" s="205">
        <f t="shared" si="467"/>
        <v>-15881.770835106781</v>
      </c>
      <c r="L342" s="205">
        <f t="shared" si="468"/>
        <v>590509.05261927343</v>
      </c>
      <c r="M342" s="199"/>
      <c r="N342" s="200">
        <f t="shared" ca="1" si="469"/>
        <v>15</v>
      </c>
      <c r="O342" s="509">
        <f t="shared" ca="1" si="455"/>
        <v>173</v>
      </c>
      <c r="P342" s="200">
        <f t="shared" ca="1" si="456"/>
        <v>15</v>
      </c>
      <c r="Q342" s="201">
        <v>1</v>
      </c>
      <c r="R342" s="202">
        <f t="shared" si="484"/>
        <v>49675</v>
      </c>
      <c r="S342" s="203">
        <f t="shared" si="470"/>
        <v>0.04</v>
      </c>
      <c r="T342" s="204">
        <f t="shared" ca="1" si="471"/>
        <v>138</v>
      </c>
      <c r="U342" s="205">
        <f t="shared" ca="1" si="472"/>
        <v>375166.52272032457</v>
      </c>
      <c r="V342" s="205">
        <f t="shared" ca="1" si="457"/>
        <v>-2387.0764773272977</v>
      </c>
      <c r="W342" s="205">
        <f t="shared" ca="1" si="458"/>
        <v>-1250.5550757344151</v>
      </c>
      <c r="X342" s="205">
        <f t="shared" ca="1" si="473"/>
        <v>-1136.5214015928825</v>
      </c>
      <c r="Y342" s="205">
        <f t="shared" ca="1" si="474"/>
        <v>374030.00131873169</v>
      </c>
      <c r="Z342" s="199"/>
      <c r="AA342" s="200">
        <f t="shared" ca="1" si="462"/>
        <v>27</v>
      </c>
      <c r="AB342" s="509">
        <f t="shared" ca="1" si="459"/>
        <v>324</v>
      </c>
      <c r="AC342" s="200">
        <f t="shared" ref="AC342" si="488">+AC341+1</f>
        <v>28</v>
      </c>
      <c r="AD342" s="201">
        <v>1</v>
      </c>
      <c r="AE342" s="202">
        <f t="shared" ca="1" si="485"/>
        <v>54271</v>
      </c>
      <c r="AF342" s="203">
        <f>IF(Dashboard!$R$24="Float",AF341+Dashboard!$R$24/12,AF341)</f>
        <v>0.06</v>
      </c>
      <c r="AG342" s="204">
        <f t="shared" si="475"/>
        <v>325</v>
      </c>
      <c r="AH342" s="205">
        <f t="shared" si="476"/>
        <v>0</v>
      </c>
      <c r="AI342" s="205">
        <f t="shared" si="460"/>
        <v>0</v>
      </c>
      <c r="AJ342" s="205">
        <f t="shared" si="461"/>
        <v>0</v>
      </c>
      <c r="AK342" s="205">
        <f t="shared" si="477"/>
        <v>0</v>
      </c>
      <c r="AL342" s="205">
        <f t="shared" si="478"/>
        <v>0</v>
      </c>
      <c r="AM342" s="199"/>
      <c r="AN342" s="200">
        <f t="shared" ref="AN342" si="489">+AN341+1</f>
        <v>29</v>
      </c>
      <c r="AO342" s="201">
        <v>1</v>
      </c>
      <c r="AP342" s="202">
        <f t="shared" ca="1" si="486"/>
        <v>54271</v>
      </c>
      <c r="AQ342" s="203">
        <f>IF(Dashboard!$S$20="Float",AQ341+Dashboard!$T$20/12,AQ341)</f>
        <v>4.4999999999999998E-2</v>
      </c>
      <c r="AR342" s="204">
        <f t="shared" si="479"/>
        <v>325</v>
      </c>
      <c r="AS342" s="205">
        <f t="shared" si="480"/>
        <v>609040.1536708104</v>
      </c>
      <c r="AT342" s="205">
        <f t="shared" si="463"/>
        <v>-18117.071455543854</v>
      </c>
      <c r="AU342" s="205">
        <f t="shared" si="464"/>
        <v>-2283.9005762655388</v>
      </c>
      <c r="AV342" s="205">
        <f t="shared" si="481"/>
        <v>-15833.170879278314</v>
      </c>
      <c r="AW342" s="205">
        <f t="shared" si="482"/>
        <v>593206.98279153206</v>
      </c>
      <c r="AX342" s="199"/>
    </row>
    <row r="343" spans="1:50">
      <c r="A343" s="73"/>
      <c r="B343" s="570"/>
      <c r="C343" s="200">
        <f>+C342</f>
        <v>28</v>
      </c>
      <c r="D343" s="201">
        <f>+D342+1</f>
        <v>2</v>
      </c>
      <c r="E343" s="202">
        <f t="shared" ca="1" si="483"/>
        <v>54302</v>
      </c>
      <c r="F343" s="203">
        <f>IF(Dashboard!$Q$5="Float",F342+Dashboard!$R$5/12,F342)</f>
        <v>0.04</v>
      </c>
      <c r="G343" s="204">
        <f t="shared" si="465"/>
        <v>326</v>
      </c>
      <c r="H343" s="205">
        <f t="shared" si="466"/>
        <v>590509.05261927343</v>
      </c>
      <c r="I343" s="205">
        <f t="shared" si="453"/>
        <v>-17903.073579954718</v>
      </c>
      <c r="J343" s="205">
        <f t="shared" si="454"/>
        <v>-1968.3635087309115</v>
      </c>
      <c r="K343" s="205">
        <f t="shared" si="467"/>
        <v>-15934.710071223806</v>
      </c>
      <c r="L343" s="205">
        <f t="shared" si="468"/>
        <v>574574.34254804964</v>
      </c>
      <c r="M343" s="199"/>
      <c r="N343" s="200">
        <f t="shared" ca="1" si="469"/>
        <v>15</v>
      </c>
      <c r="O343" s="509">
        <f t="shared" ca="1" si="455"/>
        <v>174</v>
      </c>
      <c r="P343" s="200">
        <f t="shared" ca="1" si="456"/>
        <v>15</v>
      </c>
      <c r="Q343" s="201">
        <f>+Q342+1</f>
        <v>2</v>
      </c>
      <c r="R343" s="202">
        <f t="shared" si="484"/>
        <v>49706</v>
      </c>
      <c r="S343" s="203">
        <f t="shared" si="470"/>
        <v>0.04</v>
      </c>
      <c r="T343" s="204">
        <f t="shared" ca="1" si="471"/>
        <v>139</v>
      </c>
      <c r="U343" s="205">
        <f t="shared" ca="1" si="472"/>
        <v>374030.00131873169</v>
      </c>
      <c r="V343" s="205">
        <f t="shared" ca="1" si="457"/>
        <v>-2387.0764773272977</v>
      </c>
      <c r="W343" s="205">
        <f t="shared" ca="1" si="458"/>
        <v>-1246.7666710624389</v>
      </c>
      <c r="X343" s="205">
        <f t="shared" ca="1" si="473"/>
        <v>-1140.3098062648587</v>
      </c>
      <c r="Y343" s="205">
        <f t="shared" ca="1" si="474"/>
        <v>372889.69151246682</v>
      </c>
      <c r="Z343" s="199"/>
      <c r="AA343" s="200">
        <f t="shared" ca="1" si="462"/>
        <v>28</v>
      </c>
      <c r="AB343" s="509">
        <f t="shared" ca="1" si="459"/>
        <v>325</v>
      </c>
      <c r="AC343" s="200">
        <f>+AC342</f>
        <v>28</v>
      </c>
      <c r="AD343" s="201">
        <f>+AD342+1</f>
        <v>2</v>
      </c>
      <c r="AE343" s="202">
        <f t="shared" ca="1" si="485"/>
        <v>54302</v>
      </c>
      <c r="AF343" s="203">
        <f>IF(Dashboard!$R$24="Float",AF342+Dashboard!$R$24/12,AF342)</f>
        <v>0.06</v>
      </c>
      <c r="AG343" s="204">
        <f t="shared" si="475"/>
        <v>326</v>
      </c>
      <c r="AH343" s="205">
        <f t="shared" si="476"/>
        <v>0</v>
      </c>
      <c r="AI343" s="205">
        <f t="shared" si="460"/>
        <v>0</v>
      </c>
      <c r="AJ343" s="205">
        <f t="shared" si="461"/>
        <v>0</v>
      </c>
      <c r="AK343" s="205">
        <f t="shared" si="477"/>
        <v>0</v>
      </c>
      <c r="AL343" s="205">
        <f t="shared" si="478"/>
        <v>0</v>
      </c>
      <c r="AM343" s="199"/>
      <c r="AN343" s="200">
        <f>+AN342</f>
        <v>29</v>
      </c>
      <c r="AO343" s="201">
        <f>+AO342+1</f>
        <v>2</v>
      </c>
      <c r="AP343" s="202">
        <f t="shared" ca="1" si="486"/>
        <v>54302</v>
      </c>
      <c r="AQ343" s="203">
        <f>IF(Dashboard!$S$20="Float",AQ342+Dashboard!$T$20/12,AQ342)</f>
        <v>4.4999999999999998E-2</v>
      </c>
      <c r="AR343" s="204">
        <f t="shared" si="479"/>
        <v>326</v>
      </c>
      <c r="AS343" s="205">
        <f t="shared" si="480"/>
        <v>593206.98279153206</v>
      </c>
      <c r="AT343" s="205">
        <f t="shared" si="463"/>
        <v>-18117.071455543854</v>
      </c>
      <c r="AU343" s="205">
        <f t="shared" si="464"/>
        <v>-2224.5261854682453</v>
      </c>
      <c r="AV343" s="205">
        <f t="shared" si="481"/>
        <v>-15892.545270075609</v>
      </c>
      <c r="AW343" s="205">
        <f t="shared" si="482"/>
        <v>577314.43752145651</v>
      </c>
      <c r="AX343" s="199"/>
    </row>
    <row r="344" spans="1:50">
      <c r="A344" s="73"/>
      <c r="B344" s="570"/>
      <c r="C344" s="200">
        <f>+C343</f>
        <v>28</v>
      </c>
      <c r="D344" s="201">
        <f>+D343+1</f>
        <v>3</v>
      </c>
      <c r="E344" s="202">
        <f t="shared" ca="1" si="483"/>
        <v>54332</v>
      </c>
      <c r="F344" s="203">
        <f>IF(Dashboard!$Q$5="Float",F343+Dashboard!$R$5/12,F343)</f>
        <v>0.04</v>
      </c>
      <c r="G344" s="204">
        <f t="shared" si="465"/>
        <v>327</v>
      </c>
      <c r="H344" s="205">
        <f t="shared" si="466"/>
        <v>574574.34254804964</v>
      </c>
      <c r="I344" s="205">
        <f t="shared" si="453"/>
        <v>-17903.073579954718</v>
      </c>
      <c r="J344" s="205">
        <f t="shared" si="454"/>
        <v>-1915.247808493499</v>
      </c>
      <c r="K344" s="205">
        <f t="shared" si="467"/>
        <v>-15987.825771461219</v>
      </c>
      <c r="L344" s="205">
        <f t="shared" si="468"/>
        <v>558586.5167765884</v>
      </c>
      <c r="M344" s="199"/>
      <c r="N344" s="200">
        <f t="shared" ca="1" si="469"/>
        <v>15</v>
      </c>
      <c r="O344" s="509">
        <f t="shared" ca="1" si="455"/>
        <v>175</v>
      </c>
      <c r="P344" s="200">
        <f t="shared" ca="1" si="456"/>
        <v>15</v>
      </c>
      <c r="Q344" s="201">
        <f>+Q343+1</f>
        <v>3</v>
      </c>
      <c r="R344" s="202">
        <f t="shared" si="484"/>
        <v>49735</v>
      </c>
      <c r="S344" s="203">
        <f t="shared" si="470"/>
        <v>0.04</v>
      </c>
      <c r="T344" s="204">
        <f t="shared" ca="1" si="471"/>
        <v>140</v>
      </c>
      <c r="U344" s="205">
        <f t="shared" ca="1" si="472"/>
        <v>372889.69151246682</v>
      </c>
      <c r="V344" s="205">
        <f t="shared" ca="1" si="457"/>
        <v>-2387.0764773272977</v>
      </c>
      <c r="W344" s="205">
        <f t="shared" ca="1" si="458"/>
        <v>-1242.9656383748895</v>
      </c>
      <c r="X344" s="205">
        <f t="shared" ca="1" si="473"/>
        <v>-1144.1108389524081</v>
      </c>
      <c r="Y344" s="205">
        <f t="shared" ca="1" si="474"/>
        <v>371745.5806735144</v>
      </c>
      <c r="Z344" s="199"/>
      <c r="AA344" s="200">
        <f t="shared" ca="1" si="462"/>
        <v>28</v>
      </c>
      <c r="AB344" s="509">
        <f t="shared" ca="1" si="459"/>
        <v>326</v>
      </c>
      <c r="AC344" s="200">
        <f>+AC343</f>
        <v>28</v>
      </c>
      <c r="AD344" s="201">
        <f>+AD343+1</f>
        <v>3</v>
      </c>
      <c r="AE344" s="202">
        <f t="shared" ca="1" si="485"/>
        <v>54332</v>
      </c>
      <c r="AF344" s="203">
        <f>IF(Dashboard!$R$24="Float",AF343+Dashboard!$R$24/12,AF343)</f>
        <v>0.06</v>
      </c>
      <c r="AG344" s="204">
        <f t="shared" si="475"/>
        <v>327</v>
      </c>
      <c r="AH344" s="205">
        <f t="shared" si="476"/>
        <v>0</v>
      </c>
      <c r="AI344" s="205">
        <f t="shared" si="460"/>
        <v>0</v>
      </c>
      <c r="AJ344" s="205">
        <f t="shared" si="461"/>
        <v>0</v>
      </c>
      <c r="AK344" s="205">
        <f t="shared" si="477"/>
        <v>0</v>
      </c>
      <c r="AL344" s="205">
        <f t="shared" si="478"/>
        <v>0</v>
      </c>
      <c r="AM344" s="199"/>
      <c r="AN344" s="200">
        <f>+AN343</f>
        <v>29</v>
      </c>
      <c r="AO344" s="201">
        <f>+AO343+1</f>
        <v>3</v>
      </c>
      <c r="AP344" s="202">
        <f t="shared" ca="1" si="486"/>
        <v>54332</v>
      </c>
      <c r="AQ344" s="203">
        <f>IF(Dashboard!$S$20="Float",AQ343+Dashboard!$T$20/12,AQ343)</f>
        <v>4.4999999999999998E-2</v>
      </c>
      <c r="AR344" s="204">
        <f t="shared" si="479"/>
        <v>327</v>
      </c>
      <c r="AS344" s="205">
        <f t="shared" si="480"/>
        <v>577314.43752145651</v>
      </c>
      <c r="AT344" s="205">
        <f t="shared" si="463"/>
        <v>-18117.071455543854</v>
      </c>
      <c r="AU344" s="205">
        <f t="shared" si="464"/>
        <v>-2164.929140705462</v>
      </c>
      <c r="AV344" s="205">
        <f t="shared" si="481"/>
        <v>-15952.142314838391</v>
      </c>
      <c r="AW344" s="205">
        <f t="shared" si="482"/>
        <v>561362.29520661815</v>
      </c>
      <c r="AX344" s="199"/>
    </row>
    <row r="345" spans="1:50">
      <c r="A345" s="73"/>
      <c r="B345" s="570"/>
      <c r="C345" s="200">
        <f>+C344</f>
        <v>28</v>
      </c>
      <c r="D345" s="201">
        <f t="shared" ref="D345:D353" si="490">+D344+1</f>
        <v>4</v>
      </c>
      <c r="E345" s="202">
        <f t="shared" ca="1" si="483"/>
        <v>54363</v>
      </c>
      <c r="F345" s="203">
        <f>IF(Dashboard!$Q$5="Float",F344+Dashboard!$R$5/12,F344)</f>
        <v>0.04</v>
      </c>
      <c r="G345" s="204">
        <f t="shared" si="465"/>
        <v>328</v>
      </c>
      <c r="H345" s="205">
        <f t="shared" si="466"/>
        <v>558586.5167765884</v>
      </c>
      <c r="I345" s="205">
        <f t="shared" si="453"/>
        <v>-17903.073579954718</v>
      </c>
      <c r="J345" s="205">
        <f t="shared" si="454"/>
        <v>-1861.9550559219615</v>
      </c>
      <c r="K345" s="205">
        <f t="shared" si="467"/>
        <v>-16041.118524032758</v>
      </c>
      <c r="L345" s="205">
        <f t="shared" si="468"/>
        <v>542545.39825255563</v>
      </c>
      <c r="M345" s="199"/>
      <c r="N345" s="200">
        <f t="shared" ca="1" si="469"/>
        <v>15</v>
      </c>
      <c r="O345" s="509">
        <f t="shared" ca="1" si="455"/>
        <v>176</v>
      </c>
      <c r="P345" s="200">
        <f t="shared" ca="1" si="456"/>
        <v>15</v>
      </c>
      <c r="Q345" s="201">
        <f t="shared" ref="Q345:Q353" si="491">+Q344+1</f>
        <v>4</v>
      </c>
      <c r="R345" s="202">
        <f t="shared" si="484"/>
        <v>49766</v>
      </c>
      <c r="S345" s="203">
        <f t="shared" si="470"/>
        <v>0.04</v>
      </c>
      <c r="T345" s="204">
        <f t="shared" ca="1" si="471"/>
        <v>141</v>
      </c>
      <c r="U345" s="205">
        <f t="shared" ca="1" si="472"/>
        <v>371745.5806735144</v>
      </c>
      <c r="V345" s="205">
        <f t="shared" ca="1" si="457"/>
        <v>-2387.0764773272972</v>
      </c>
      <c r="W345" s="205">
        <f t="shared" ca="1" si="458"/>
        <v>-1239.1519355783814</v>
      </c>
      <c r="X345" s="205">
        <f t="shared" ca="1" si="473"/>
        <v>-1147.9245417489158</v>
      </c>
      <c r="Y345" s="205">
        <f t="shared" ca="1" si="474"/>
        <v>370597.65613176546</v>
      </c>
      <c r="Z345" s="199"/>
      <c r="AA345" s="200">
        <f t="shared" ca="1" si="462"/>
        <v>28</v>
      </c>
      <c r="AB345" s="509">
        <f t="shared" ca="1" si="459"/>
        <v>327</v>
      </c>
      <c r="AC345" s="200">
        <f>+AC344</f>
        <v>28</v>
      </c>
      <c r="AD345" s="201">
        <f t="shared" ref="AD345:AD353" si="492">+AD344+1</f>
        <v>4</v>
      </c>
      <c r="AE345" s="202">
        <f t="shared" ca="1" si="485"/>
        <v>54363</v>
      </c>
      <c r="AF345" s="203">
        <f>IF(Dashboard!$R$24="Float",AF344+Dashboard!$R$24/12,AF344)</f>
        <v>0.06</v>
      </c>
      <c r="AG345" s="204">
        <f t="shared" si="475"/>
        <v>328</v>
      </c>
      <c r="AH345" s="205">
        <f t="shared" si="476"/>
        <v>0</v>
      </c>
      <c r="AI345" s="205">
        <f t="shared" si="460"/>
        <v>0</v>
      </c>
      <c r="AJ345" s="205">
        <f t="shared" si="461"/>
        <v>0</v>
      </c>
      <c r="AK345" s="205">
        <f t="shared" si="477"/>
        <v>0</v>
      </c>
      <c r="AL345" s="205">
        <f t="shared" si="478"/>
        <v>0</v>
      </c>
      <c r="AM345" s="199"/>
      <c r="AN345" s="200">
        <f>+AN344</f>
        <v>29</v>
      </c>
      <c r="AO345" s="201">
        <f t="shared" ref="AO345:AO353" si="493">+AO344+1</f>
        <v>4</v>
      </c>
      <c r="AP345" s="202">
        <f t="shared" ca="1" si="486"/>
        <v>54363</v>
      </c>
      <c r="AQ345" s="203">
        <f>IF(Dashboard!$S$20="Float",AQ344+Dashboard!$T$20/12,AQ344)</f>
        <v>4.4999999999999998E-2</v>
      </c>
      <c r="AR345" s="204">
        <f t="shared" si="479"/>
        <v>328</v>
      </c>
      <c r="AS345" s="205">
        <f t="shared" si="480"/>
        <v>561362.29520661815</v>
      </c>
      <c r="AT345" s="205">
        <f t="shared" si="463"/>
        <v>-18117.071455543857</v>
      </c>
      <c r="AU345" s="205">
        <f t="shared" si="464"/>
        <v>-2105.108607024818</v>
      </c>
      <c r="AV345" s="205">
        <f t="shared" si="481"/>
        <v>-16011.962848519039</v>
      </c>
      <c r="AW345" s="205">
        <f t="shared" si="482"/>
        <v>545350.33235809905</v>
      </c>
      <c r="AX345" s="199"/>
    </row>
    <row r="346" spans="1:50">
      <c r="A346" s="73"/>
      <c r="B346" s="570"/>
      <c r="C346" s="200">
        <f t="shared" ref="C346:C353" si="494">+C345</f>
        <v>28</v>
      </c>
      <c r="D346" s="201">
        <f t="shared" si="490"/>
        <v>5</v>
      </c>
      <c r="E346" s="202">
        <f t="shared" ca="1" si="483"/>
        <v>54393</v>
      </c>
      <c r="F346" s="203">
        <f>IF(Dashboard!$Q$5="Float",F345+Dashboard!$R$5/12,F345)</f>
        <v>0.04</v>
      </c>
      <c r="G346" s="204">
        <f t="shared" si="465"/>
        <v>329</v>
      </c>
      <c r="H346" s="205">
        <f t="shared" si="466"/>
        <v>542545.39825255563</v>
      </c>
      <c r="I346" s="205">
        <f t="shared" si="453"/>
        <v>-17903.073579954722</v>
      </c>
      <c r="J346" s="205">
        <f t="shared" si="454"/>
        <v>-1808.484660841852</v>
      </c>
      <c r="K346" s="205">
        <f t="shared" si="467"/>
        <v>-16094.58891911287</v>
      </c>
      <c r="L346" s="205">
        <f t="shared" si="468"/>
        <v>526450.80933344271</v>
      </c>
      <c r="M346" s="199"/>
      <c r="N346" s="200">
        <f t="shared" ca="1" si="469"/>
        <v>15</v>
      </c>
      <c r="O346" s="509">
        <f t="shared" ca="1" si="455"/>
        <v>177</v>
      </c>
      <c r="P346" s="200">
        <f t="shared" ca="1" si="456"/>
        <v>15</v>
      </c>
      <c r="Q346" s="201">
        <f t="shared" si="491"/>
        <v>5</v>
      </c>
      <c r="R346" s="202">
        <f t="shared" si="484"/>
        <v>49796</v>
      </c>
      <c r="S346" s="203">
        <f t="shared" si="470"/>
        <v>0.04</v>
      </c>
      <c r="T346" s="204">
        <f t="shared" ca="1" si="471"/>
        <v>142</v>
      </c>
      <c r="U346" s="205">
        <f t="shared" ca="1" si="472"/>
        <v>370597.65613176546</v>
      </c>
      <c r="V346" s="205">
        <f t="shared" ca="1" si="457"/>
        <v>-2387.0764773272972</v>
      </c>
      <c r="W346" s="205">
        <f t="shared" ca="1" si="458"/>
        <v>-1235.3255204392183</v>
      </c>
      <c r="X346" s="205">
        <f t="shared" ca="1" si="473"/>
        <v>-1151.7509568880789</v>
      </c>
      <c r="Y346" s="205">
        <f t="shared" ca="1" si="474"/>
        <v>369445.90517487738</v>
      </c>
      <c r="Z346" s="199"/>
      <c r="AA346" s="200">
        <f t="shared" ca="1" si="462"/>
        <v>28</v>
      </c>
      <c r="AB346" s="509">
        <f t="shared" ca="1" si="459"/>
        <v>328</v>
      </c>
      <c r="AC346" s="200">
        <f t="shared" ref="AC346:AC353" si="495">+AC345</f>
        <v>28</v>
      </c>
      <c r="AD346" s="201">
        <f t="shared" si="492"/>
        <v>5</v>
      </c>
      <c r="AE346" s="202">
        <f t="shared" ca="1" si="485"/>
        <v>54393</v>
      </c>
      <c r="AF346" s="203">
        <f>IF(Dashboard!$R$24="Float",AF345+Dashboard!$R$24/12,AF345)</f>
        <v>0.06</v>
      </c>
      <c r="AG346" s="204">
        <f t="shared" si="475"/>
        <v>329</v>
      </c>
      <c r="AH346" s="205">
        <f t="shared" si="476"/>
        <v>0</v>
      </c>
      <c r="AI346" s="205">
        <f t="shared" si="460"/>
        <v>0</v>
      </c>
      <c r="AJ346" s="205">
        <f t="shared" si="461"/>
        <v>0</v>
      </c>
      <c r="AK346" s="205">
        <f t="shared" si="477"/>
        <v>0</v>
      </c>
      <c r="AL346" s="205">
        <f t="shared" si="478"/>
        <v>0</v>
      </c>
      <c r="AM346" s="199"/>
      <c r="AN346" s="200">
        <f t="shared" ref="AN346:AN353" si="496">+AN345</f>
        <v>29</v>
      </c>
      <c r="AO346" s="201">
        <f t="shared" si="493"/>
        <v>5</v>
      </c>
      <c r="AP346" s="202">
        <f t="shared" ca="1" si="486"/>
        <v>54393</v>
      </c>
      <c r="AQ346" s="203">
        <f>IF(Dashboard!$S$20="Float",AQ345+Dashboard!$T$20/12,AQ345)</f>
        <v>4.4999999999999998E-2</v>
      </c>
      <c r="AR346" s="204">
        <f t="shared" si="479"/>
        <v>329</v>
      </c>
      <c r="AS346" s="205">
        <f t="shared" si="480"/>
        <v>545350.33235809905</v>
      </c>
      <c r="AT346" s="205">
        <f t="shared" si="463"/>
        <v>-18117.071455543854</v>
      </c>
      <c r="AU346" s="205">
        <f t="shared" si="464"/>
        <v>-2045.0637463428714</v>
      </c>
      <c r="AV346" s="205">
        <f t="shared" si="481"/>
        <v>-16072.007709200981</v>
      </c>
      <c r="AW346" s="205">
        <f t="shared" si="482"/>
        <v>529278.32464889809</v>
      </c>
      <c r="AX346" s="199"/>
    </row>
    <row r="347" spans="1:50">
      <c r="A347" s="73"/>
      <c r="B347" s="570"/>
      <c r="C347" s="200">
        <f t="shared" si="494"/>
        <v>28</v>
      </c>
      <c r="D347" s="201">
        <f t="shared" si="490"/>
        <v>6</v>
      </c>
      <c r="E347" s="202">
        <f t="shared" ca="1" si="483"/>
        <v>54424</v>
      </c>
      <c r="F347" s="203">
        <f>IF(Dashboard!$Q$5="Float",F346+Dashboard!$R$5/12,F346)</f>
        <v>0.04</v>
      </c>
      <c r="G347" s="204">
        <f t="shared" si="465"/>
        <v>330</v>
      </c>
      <c r="H347" s="205">
        <f t="shared" si="466"/>
        <v>526450.80933344271</v>
      </c>
      <c r="I347" s="205">
        <f t="shared" si="453"/>
        <v>-17903.073579954718</v>
      </c>
      <c r="J347" s="205">
        <f t="shared" si="454"/>
        <v>-1754.8360311114757</v>
      </c>
      <c r="K347" s="205">
        <f t="shared" si="467"/>
        <v>-16148.237548843243</v>
      </c>
      <c r="L347" s="205">
        <f t="shared" si="468"/>
        <v>510302.57178459945</v>
      </c>
      <c r="M347" s="199"/>
      <c r="N347" s="200">
        <f t="shared" ca="1" si="469"/>
        <v>15</v>
      </c>
      <c r="O347" s="509">
        <f t="shared" ca="1" si="455"/>
        <v>178</v>
      </c>
      <c r="P347" s="200">
        <f t="shared" ca="1" si="456"/>
        <v>15</v>
      </c>
      <c r="Q347" s="201">
        <f t="shared" si="491"/>
        <v>6</v>
      </c>
      <c r="R347" s="202">
        <f t="shared" si="484"/>
        <v>49827</v>
      </c>
      <c r="S347" s="203">
        <f t="shared" si="470"/>
        <v>0.04</v>
      </c>
      <c r="T347" s="204">
        <f t="shared" ca="1" si="471"/>
        <v>143</v>
      </c>
      <c r="U347" s="205">
        <f t="shared" ca="1" si="472"/>
        <v>369445.90517487738</v>
      </c>
      <c r="V347" s="205">
        <f t="shared" ca="1" si="457"/>
        <v>-2387.0764773272972</v>
      </c>
      <c r="W347" s="205">
        <f t="shared" ca="1" si="458"/>
        <v>-1231.4863505829246</v>
      </c>
      <c r="X347" s="205">
        <f t="shared" ca="1" si="473"/>
        <v>-1155.5901267443726</v>
      </c>
      <c r="Y347" s="205">
        <f t="shared" ca="1" si="474"/>
        <v>368290.31504813302</v>
      </c>
      <c r="Z347" s="199"/>
      <c r="AA347" s="200">
        <f t="shared" ca="1" si="462"/>
        <v>28</v>
      </c>
      <c r="AB347" s="509">
        <f t="shared" ca="1" si="459"/>
        <v>329</v>
      </c>
      <c r="AC347" s="200">
        <f t="shared" si="495"/>
        <v>28</v>
      </c>
      <c r="AD347" s="201">
        <f t="shared" si="492"/>
        <v>6</v>
      </c>
      <c r="AE347" s="202">
        <f t="shared" ca="1" si="485"/>
        <v>54424</v>
      </c>
      <c r="AF347" s="203">
        <f>IF(Dashboard!$R$24="Float",AF346+Dashboard!$R$24/12,AF346)</f>
        <v>0.06</v>
      </c>
      <c r="AG347" s="204">
        <f t="shared" si="475"/>
        <v>330</v>
      </c>
      <c r="AH347" s="205">
        <f t="shared" si="476"/>
        <v>0</v>
      </c>
      <c r="AI347" s="205">
        <f t="shared" si="460"/>
        <v>0</v>
      </c>
      <c r="AJ347" s="205">
        <f t="shared" si="461"/>
        <v>0</v>
      </c>
      <c r="AK347" s="205">
        <f t="shared" si="477"/>
        <v>0</v>
      </c>
      <c r="AL347" s="205">
        <f t="shared" si="478"/>
        <v>0</v>
      </c>
      <c r="AM347" s="199"/>
      <c r="AN347" s="200">
        <f t="shared" si="496"/>
        <v>29</v>
      </c>
      <c r="AO347" s="201">
        <f t="shared" si="493"/>
        <v>6</v>
      </c>
      <c r="AP347" s="202">
        <f t="shared" ca="1" si="486"/>
        <v>54424</v>
      </c>
      <c r="AQ347" s="203">
        <f>IF(Dashboard!$S$20="Float",AQ346+Dashboard!$T$20/12,AQ346)</f>
        <v>4.4999999999999998E-2</v>
      </c>
      <c r="AR347" s="204">
        <f t="shared" si="479"/>
        <v>330</v>
      </c>
      <c r="AS347" s="205">
        <f t="shared" si="480"/>
        <v>529278.32464889809</v>
      </c>
      <c r="AT347" s="205">
        <f t="shared" si="463"/>
        <v>-18117.071455543857</v>
      </c>
      <c r="AU347" s="205">
        <f t="shared" si="464"/>
        <v>-1984.7937174333676</v>
      </c>
      <c r="AV347" s="205">
        <f t="shared" si="481"/>
        <v>-16132.27773811049</v>
      </c>
      <c r="AW347" s="205">
        <f t="shared" si="482"/>
        <v>513146.04691078758</v>
      </c>
      <c r="AX347" s="199"/>
    </row>
    <row r="348" spans="1:50">
      <c r="A348" s="73"/>
      <c r="B348" s="570"/>
      <c r="C348" s="200">
        <f t="shared" si="494"/>
        <v>28</v>
      </c>
      <c r="D348" s="201">
        <f t="shared" si="490"/>
        <v>7</v>
      </c>
      <c r="E348" s="202">
        <f t="shared" ca="1" si="483"/>
        <v>54455</v>
      </c>
      <c r="F348" s="203">
        <f>IF(Dashboard!$Q$5="Float",F347+Dashboard!$R$5/12,F347)</f>
        <v>0.04</v>
      </c>
      <c r="G348" s="204">
        <f t="shared" si="465"/>
        <v>331</v>
      </c>
      <c r="H348" s="205">
        <f t="shared" si="466"/>
        <v>510302.57178459945</v>
      </c>
      <c r="I348" s="205">
        <f t="shared" si="453"/>
        <v>-17903.073579954715</v>
      </c>
      <c r="J348" s="205">
        <f t="shared" si="454"/>
        <v>-1701.0085726153313</v>
      </c>
      <c r="K348" s="205">
        <f t="shared" si="467"/>
        <v>-16202.065007339383</v>
      </c>
      <c r="L348" s="205">
        <f t="shared" si="468"/>
        <v>494100.50677726005</v>
      </c>
      <c r="M348" s="199"/>
      <c r="N348" s="200">
        <f t="shared" ca="1" si="469"/>
        <v>15</v>
      </c>
      <c r="O348" s="509">
        <f t="shared" ca="1" si="455"/>
        <v>179</v>
      </c>
      <c r="P348" s="200">
        <f t="shared" ca="1" si="456"/>
        <v>15</v>
      </c>
      <c r="Q348" s="201">
        <f t="shared" si="491"/>
        <v>7</v>
      </c>
      <c r="R348" s="202">
        <f t="shared" si="484"/>
        <v>49857</v>
      </c>
      <c r="S348" s="203">
        <f t="shared" si="470"/>
        <v>0.04</v>
      </c>
      <c r="T348" s="204">
        <f t="shared" ca="1" si="471"/>
        <v>144</v>
      </c>
      <c r="U348" s="205">
        <f t="shared" ca="1" si="472"/>
        <v>368290.31504813302</v>
      </c>
      <c r="V348" s="205">
        <f t="shared" ca="1" si="457"/>
        <v>-2387.0764773272977</v>
      </c>
      <c r="W348" s="205">
        <f t="shared" ca="1" si="458"/>
        <v>-1227.6343834937768</v>
      </c>
      <c r="X348" s="205">
        <f t="shared" ca="1" si="473"/>
        <v>-1159.4420938335209</v>
      </c>
      <c r="Y348" s="205">
        <f t="shared" ca="1" si="474"/>
        <v>367130.8729542995</v>
      </c>
      <c r="Z348" s="199"/>
      <c r="AA348" s="200">
        <f t="shared" ca="1" si="462"/>
        <v>28</v>
      </c>
      <c r="AB348" s="509">
        <f t="shared" ca="1" si="459"/>
        <v>330</v>
      </c>
      <c r="AC348" s="200">
        <f t="shared" si="495"/>
        <v>28</v>
      </c>
      <c r="AD348" s="201">
        <f t="shared" si="492"/>
        <v>7</v>
      </c>
      <c r="AE348" s="202">
        <f t="shared" ca="1" si="485"/>
        <v>54455</v>
      </c>
      <c r="AF348" s="203">
        <f>IF(Dashboard!$R$24="Float",AF347+Dashboard!$R$24/12,AF347)</f>
        <v>0.06</v>
      </c>
      <c r="AG348" s="204">
        <f t="shared" si="475"/>
        <v>331</v>
      </c>
      <c r="AH348" s="205">
        <f t="shared" si="476"/>
        <v>0</v>
      </c>
      <c r="AI348" s="205">
        <f t="shared" si="460"/>
        <v>0</v>
      </c>
      <c r="AJ348" s="205">
        <f t="shared" si="461"/>
        <v>0</v>
      </c>
      <c r="AK348" s="205">
        <f t="shared" si="477"/>
        <v>0</v>
      </c>
      <c r="AL348" s="205">
        <f t="shared" si="478"/>
        <v>0</v>
      </c>
      <c r="AM348" s="199"/>
      <c r="AN348" s="200">
        <f t="shared" si="496"/>
        <v>29</v>
      </c>
      <c r="AO348" s="201">
        <f t="shared" si="493"/>
        <v>7</v>
      </c>
      <c r="AP348" s="202">
        <f t="shared" ca="1" si="486"/>
        <v>54455</v>
      </c>
      <c r="AQ348" s="203">
        <f>IF(Dashboard!$S$20="Float",AQ347+Dashboard!$T$20/12,AQ347)</f>
        <v>4.4999999999999998E-2</v>
      </c>
      <c r="AR348" s="204">
        <f t="shared" si="479"/>
        <v>331</v>
      </c>
      <c r="AS348" s="205">
        <f t="shared" si="480"/>
        <v>513146.04691078758</v>
      </c>
      <c r="AT348" s="205">
        <f t="shared" si="463"/>
        <v>-18117.071455543857</v>
      </c>
      <c r="AU348" s="205">
        <f t="shared" si="464"/>
        <v>-1924.2976759154535</v>
      </c>
      <c r="AV348" s="205">
        <f t="shared" si="481"/>
        <v>-16192.773779628404</v>
      </c>
      <c r="AW348" s="205">
        <f t="shared" si="482"/>
        <v>496953.27313115919</v>
      </c>
      <c r="AX348" s="199"/>
    </row>
    <row r="349" spans="1:50">
      <c r="A349" s="73"/>
      <c r="B349" s="570"/>
      <c r="C349" s="200">
        <f t="shared" si="494"/>
        <v>28</v>
      </c>
      <c r="D349" s="201">
        <f t="shared" si="490"/>
        <v>8</v>
      </c>
      <c r="E349" s="202">
        <f t="shared" ca="1" si="483"/>
        <v>54483</v>
      </c>
      <c r="F349" s="203">
        <f>IF(Dashboard!$Q$5="Float",F348+Dashboard!$R$5/12,F348)</f>
        <v>0.04</v>
      </c>
      <c r="G349" s="204">
        <f t="shared" si="465"/>
        <v>332</v>
      </c>
      <c r="H349" s="205">
        <f t="shared" si="466"/>
        <v>494100.50677726005</v>
      </c>
      <c r="I349" s="205">
        <f t="shared" si="453"/>
        <v>-17903.073579954715</v>
      </c>
      <c r="J349" s="205">
        <f t="shared" si="454"/>
        <v>-1647.0016892575334</v>
      </c>
      <c r="K349" s="205">
        <f t="shared" si="467"/>
        <v>-16256.071890697182</v>
      </c>
      <c r="L349" s="205">
        <f t="shared" si="468"/>
        <v>477844.43488656287</v>
      </c>
      <c r="M349" s="199"/>
      <c r="N349" s="200">
        <f t="shared" ca="1" si="469"/>
        <v>15</v>
      </c>
      <c r="O349" s="509">
        <f t="shared" ca="1" si="455"/>
        <v>180</v>
      </c>
      <c r="P349" s="200">
        <f t="shared" ca="1" si="456"/>
        <v>16</v>
      </c>
      <c r="Q349" s="201">
        <f t="shared" si="491"/>
        <v>8</v>
      </c>
      <c r="R349" s="202">
        <f t="shared" si="484"/>
        <v>49888</v>
      </c>
      <c r="S349" s="203">
        <f t="shared" si="470"/>
        <v>0.04</v>
      </c>
      <c r="T349" s="204">
        <f t="shared" ca="1" si="471"/>
        <v>145</v>
      </c>
      <c r="U349" s="205">
        <f t="shared" ca="1" si="472"/>
        <v>367130.8729542995</v>
      </c>
      <c r="V349" s="205">
        <f t="shared" ca="1" si="457"/>
        <v>-2387.0764773272972</v>
      </c>
      <c r="W349" s="205">
        <f t="shared" ca="1" si="458"/>
        <v>-1223.7695765143317</v>
      </c>
      <c r="X349" s="205">
        <f t="shared" ca="1" si="473"/>
        <v>-1163.3069008129655</v>
      </c>
      <c r="Y349" s="205">
        <f t="shared" ca="1" si="474"/>
        <v>365967.56605348655</v>
      </c>
      <c r="Z349" s="199"/>
      <c r="AA349" s="200">
        <f t="shared" ca="1" si="462"/>
        <v>28</v>
      </c>
      <c r="AB349" s="509">
        <f t="shared" ca="1" si="459"/>
        <v>331</v>
      </c>
      <c r="AC349" s="200">
        <f t="shared" si="495"/>
        <v>28</v>
      </c>
      <c r="AD349" s="201">
        <f t="shared" si="492"/>
        <v>8</v>
      </c>
      <c r="AE349" s="202">
        <f t="shared" ca="1" si="485"/>
        <v>54483</v>
      </c>
      <c r="AF349" s="203">
        <f>IF(Dashboard!$R$24="Float",AF348+Dashboard!$R$24/12,AF348)</f>
        <v>0.06</v>
      </c>
      <c r="AG349" s="204">
        <f t="shared" si="475"/>
        <v>332</v>
      </c>
      <c r="AH349" s="205">
        <f t="shared" si="476"/>
        <v>0</v>
      </c>
      <c r="AI349" s="205">
        <f t="shared" si="460"/>
        <v>0</v>
      </c>
      <c r="AJ349" s="205">
        <f t="shared" si="461"/>
        <v>0</v>
      </c>
      <c r="AK349" s="205">
        <f t="shared" si="477"/>
        <v>0</v>
      </c>
      <c r="AL349" s="205">
        <f t="shared" si="478"/>
        <v>0</v>
      </c>
      <c r="AM349" s="199"/>
      <c r="AN349" s="200">
        <f t="shared" si="496"/>
        <v>29</v>
      </c>
      <c r="AO349" s="201">
        <f t="shared" si="493"/>
        <v>8</v>
      </c>
      <c r="AP349" s="202">
        <f t="shared" ca="1" si="486"/>
        <v>54483</v>
      </c>
      <c r="AQ349" s="203">
        <f>IF(Dashboard!$S$20="Float",AQ348+Dashboard!$T$20/12,AQ348)</f>
        <v>4.4999999999999998E-2</v>
      </c>
      <c r="AR349" s="204">
        <f t="shared" si="479"/>
        <v>332</v>
      </c>
      <c r="AS349" s="205">
        <f t="shared" si="480"/>
        <v>496953.27313115919</v>
      </c>
      <c r="AT349" s="205">
        <f t="shared" si="463"/>
        <v>-18117.071455543857</v>
      </c>
      <c r="AU349" s="205">
        <f t="shared" si="464"/>
        <v>-1863.5747742418469</v>
      </c>
      <c r="AV349" s="205">
        <f t="shared" si="481"/>
        <v>-16253.496681302011</v>
      </c>
      <c r="AW349" s="205">
        <f t="shared" si="482"/>
        <v>480699.77644985716</v>
      </c>
      <c r="AX349" s="199"/>
    </row>
    <row r="350" spans="1:50">
      <c r="A350" s="73"/>
      <c r="B350" s="570"/>
      <c r="C350" s="200">
        <f t="shared" si="494"/>
        <v>28</v>
      </c>
      <c r="D350" s="201">
        <f t="shared" si="490"/>
        <v>9</v>
      </c>
      <c r="E350" s="202">
        <f t="shared" ca="1" si="483"/>
        <v>54514</v>
      </c>
      <c r="F350" s="203">
        <f>IF(Dashboard!$Q$5="Float",F349+Dashboard!$R$5/12,F349)</f>
        <v>0.04</v>
      </c>
      <c r="G350" s="204">
        <f t="shared" si="465"/>
        <v>333</v>
      </c>
      <c r="H350" s="205">
        <f t="shared" si="466"/>
        <v>477844.43488656287</v>
      </c>
      <c r="I350" s="205">
        <f t="shared" si="453"/>
        <v>-17903.073579954718</v>
      </c>
      <c r="J350" s="205">
        <f t="shared" si="454"/>
        <v>-1592.8147829552097</v>
      </c>
      <c r="K350" s="205">
        <f t="shared" si="467"/>
        <v>-16310.258796999509</v>
      </c>
      <c r="L350" s="205">
        <f t="shared" si="468"/>
        <v>461534.17608956335</v>
      </c>
      <c r="M350" s="199"/>
      <c r="N350" s="200">
        <f t="shared" ca="1" si="469"/>
        <v>16</v>
      </c>
      <c r="O350" s="509">
        <f t="shared" ca="1" si="455"/>
        <v>181</v>
      </c>
      <c r="P350" s="200">
        <f t="shared" ca="1" si="456"/>
        <v>16</v>
      </c>
      <c r="Q350" s="201">
        <f t="shared" si="491"/>
        <v>9</v>
      </c>
      <c r="R350" s="202">
        <f t="shared" si="484"/>
        <v>49919</v>
      </c>
      <c r="S350" s="203">
        <f t="shared" si="470"/>
        <v>0.04</v>
      </c>
      <c r="T350" s="204">
        <f t="shared" ca="1" si="471"/>
        <v>146</v>
      </c>
      <c r="U350" s="205">
        <f t="shared" ca="1" si="472"/>
        <v>365967.56605348655</v>
      </c>
      <c r="V350" s="205">
        <f t="shared" ca="1" si="457"/>
        <v>-2387.0764773272972</v>
      </c>
      <c r="W350" s="205">
        <f t="shared" ca="1" si="458"/>
        <v>-1219.8918868449553</v>
      </c>
      <c r="X350" s="205">
        <f t="shared" ca="1" si="473"/>
        <v>-1167.1845904823419</v>
      </c>
      <c r="Y350" s="205">
        <f t="shared" ca="1" si="474"/>
        <v>364800.38146300422</v>
      </c>
      <c r="Z350" s="199"/>
      <c r="AA350" s="200">
        <f t="shared" ca="1" si="462"/>
        <v>28</v>
      </c>
      <c r="AB350" s="509">
        <f t="shared" ca="1" si="459"/>
        <v>332</v>
      </c>
      <c r="AC350" s="200">
        <f t="shared" si="495"/>
        <v>28</v>
      </c>
      <c r="AD350" s="201">
        <f t="shared" si="492"/>
        <v>9</v>
      </c>
      <c r="AE350" s="202">
        <f t="shared" ca="1" si="485"/>
        <v>54514</v>
      </c>
      <c r="AF350" s="203">
        <f>IF(Dashboard!$R$24="Float",AF349+Dashboard!$R$24/12,AF349)</f>
        <v>0.06</v>
      </c>
      <c r="AG350" s="204">
        <f t="shared" si="475"/>
        <v>333</v>
      </c>
      <c r="AH350" s="205">
        <f t="shared" si="476"/>
        <v>0</v>
      </c>
      <c r="AI350" s="205">
        <f t="shared" si="460"/>
        <v>0</v>
      </c>
      <c r="AJ350" s="205">
        <f t="shared" si="461"/>
        <v>0</v>
      </c>
      <c r="AK350" s="205">
        <f t="shared" si="477"/>
        <v>0</v>
      </c>
      <c r="AL350" s="205">
        <f t="shared" si="478"/>
        <v>0</v>
      </c>
      <c r="AM350" s="199"/>
      <c r="AN350" s="200">
        <f t="shared" si="496"/>
        <v>29</v>
      </c>
      <c r="AO350" s="201">
        <f t="shared" si="493"/>
        <v>9</v>
      </c>
      <c r="AP350" s="202">
        <f t="shared" ca="1" si="486"/>
        <v>54514</v>
      </c>
      <c r="AQ350" s="203">
        <f>IF(Dashboard!$S$20="Float",AQ349+Dashboard!$T$20/12,AQ349)</f>
        <v>4.4999999999999998E-2</v>
      </c>
      <c r="AR350" s="204">
        <f t="shared" si="479"/>
        <v>333</v>
      </c>
      <c r="AS350" s="205">
        <f t="shared" si="480"/>
        <v>480699.77644985716</v>
      </c>
      <c r="AT350" s="205">
        <f t="shared" si="463"/>
        <v>-18117.071455543857</v>
      </c>
      <c r="AU350" s="205">
        <f t="shared" si="464"/>
        <v>-1802.6241616869645</v>
      </c>
      <c r="AV350" s="205">
        <f t="shared" si="481"/>
        <v>-16314.447293856892</v>
      </c>
      <c r="AW350" s="205">
        <f t="shared" si="482"/>
        <v>464385.32915600028</v>
      </c>
      <c r="AX350" s="199"/>
    </row>
    <row r="351" spans="1:50">
      <c r="A351" s="73"/>
      <c r="B351" s="570"/>
      <c r="C351" s="200">
        <f t="shared" si="494"/>
        <v>28</v>
      </c>
      <c r="D351" s="201">
        <f t="shared" si="490"/>
        <v>10</v>
      </c>
      <c r="E351" s="202">
        <f t="shared" ca="1" si="483"/>
        <v>54544</v>
      </c>
      <c r="F351" s="203">
        <f>IF(Dashboard!$Q$5="Float",F350+Dashboard!$R$5/12,F350)</f>
        <v>0.04</v>
      </c>
      <c r="G351" s="204">
        <f t="shared" si="465"/>
        <v>334</v>
      </c>
      <c r="H351" s="205">
        <f t="shared" si="466"/>
        <v>461534.17608956335</v>
      </c>
      <c r="I351" s="205">
        <f t="shared" si="453"/>
        <v>-17903.073579954715</v>
      </c>
      <c r="J351" s="205">
        <f t="shared" si="454"/>
        <v>-1538.4472536318779</v>
      </c>
      <c r="K351" s="205">
        <f t="shared" si="467"/>
        <v>-16364.626326322837</v>
      </c>
      <c r="L351" s="205">
        <f t="shared" si="468"/>
        <v>445169.5497632405</v>
      </c>
      <c r="M351" s="199"/>
      <c r="N351" s="200">
        <f t="shared" ca="1" si="469"/>
        <v>16</v>
      </c>
      <c r="O351" s="509">
        <f t="shared" ca="1" si="455"/>
        <v>182</v>
      </c>
      <c r="P351" s="200">
        <f t="shared" ca="1" si="456"/>
        <v>16</v>
      </c>
      <c r="Q351" s="201">
        <f t="shared" si="491"/>
        <v>10</v>
      </c>
      <c r="R351" s="202">
        <f t="shared" si="484"/>
        <v>49949</v>
      </c>
      <c r="S351" s="203">
        <f t="shared" si="470"/>
        <v>0.04</v>
      </c>
      <c r="T351" s="204">
        <f t="shared" ca="1" si="471"/>
        <v>147</v>
      </c>
      <c r="U351" s="205">
        <f t="shared" ca="1" si="472"/>
        <v>364800.38146300422</v>
      </c>
      <c r="V351" s="205">
        <f t="shared" ca="1" si="457"/>
        <v>-2387.0764773272977</v>
      </c>
      <c r="W351" s="205">
        <f t="shared" ca="1" si="458"/>
        <v>-1216.0012715433475</v>
      </c>
      <c r="X351" s="205">
        <f t="shared" ca="1" si="473"/>
        <v>-1171.0752057839502</v>
      </c>
      <c r="Y351" s="205">
        <f t="shared" ca="1" si="474"/>
        <v>363629.30625722028</v>
      </c>
      <c r="Z351" s="199"/>
      <c r="AA351" s="200">
        <f t="shared" ca="1" si="462"/>
        <v>28</v>
      </c>
      <c r="AB351" s="509">
        <f t="shared" ca="1" si="459"/>
        <v>333</v>
      </c>
      <c r="AC351" s="200">
        <f t="shared" si="495"/>
        <v>28</v>
      </c>
      <c r="AD351" s="201">
        <f t="shared" si="492"/>
        <v>10</v>
      </c>
      <c r="AE351" s="202">
        <f t="shared" ca="1" si="485"/>
        <v>54544</v>
      </c>
      <c r="AF351" s="203">
        <f>IF(Dashboard!$R$24="Float",AF350+Dashboard!$R$24/12,AF350)</f>
        <v>0.06</v>
      </c>
      <c r="AG351" s="204">
        <f t="shared" si="475"/>
        <v>334</v>
      </c>
      <c r="AH351" s="205">
        <f t="shared" si="476"/>
        <v>0</v>
      </c>
      <c r="AI351" s="205">
        <f t="shared" si="460"/>
        <v>0</v>
      </c>
      <c r="AJ351" s="205">
        <f t="shared" si="461"/>
        <v>0</v>
      </c>
      <c r="AK351" s="205">
        <f t="shared" si="477"/>
        <v>0</v>
      </c>
      <c r="AL351" s="205">
        <f t="shared" si="478"/>
        <v>0</v>
      </c>
      <c r="AM351" s="199"/>
      <c r="AN351" s="200">
        <f t="shared" si="496"/>
        <v>29</v>
      </c>
      <c r="AO351" s="201">
        <f t="shared" si="493"/>
        <v>10</v>
      </c>
      <c r="AP351" s="202">
        <f t="shared" ca="1" si="486"/>
        <v>54544</v>
      </c>
      <c r="AQ351" s="203">
        <f>IF(Dashboard!$S$20="Float",AQ350+Dashboard!$T$20/12,AQ350)</f>
        <v>4.4999999999999998E-2</v>
      </c>
      <c r="AR351" s="204">
        <f t="shared" si="479"/>
        <v>334</v>
      </c>
      <c r="AS351" s="205">
        <f t="shared" si="480"/>
        <v>464385.32915600028</v>
      </c>
      <c r="AT351" s="205">
        <f t="shared" si="463"/>
        <v>-18117.071455543857</v>
      </c>
      <c r="AU351" s="205">
        <f t="shared" si="464"/>
        <v>-1741.444984335001</v>
      </c>
      <c r="AV351" s="205">
        <f t="shared" si="481"/>
        <v>-16375.626471208856</v>
      </c>
      <c r="AW351" s="205">
        <f t="shared" si="482"/>
        <v>448009.70268479141</v>
      </c>
      <c r="AX351" s="199"/>
    </row>
    <row r="352" spans="1:50">
      <c r="A352" s="73"/>
      <c r="B352" s="570"/>
      <c r="C352" s="200">
        <f t="shared" si="494"/>
        <v>28</v>
      </c>
      <c r="D352" s="201">
        <f t="shared" si="490"/>
        <v>11</v>
      </c>
      <c r="E352" s="202">
        <f t="shared" ca="1" si="483"/>
        <v>54575</v>
      </c>
      <c r="F352" s="203">
        <f>IF(Dashboard!$Q$5="Float",F351+Dashboard!$R$5/12,F351)</f>
        <v>0.04</v>
      </c>
      <c r="G352" s="204">
        <f t="shared" si="465"/>
        <v>335</v>
      </c>
      <c r="H352" s="205">
        <f t="shared" si="466"/>
        <v>445169.5497632405</v>
      </c>
      <c r="I352" s="205">
        <f t="shared" si="453"/>
        <v>-17903.073579954711</v>
      </c>
      <c r="J352" s="205">
        <f t="shared" si="454"/>
        <v>-1483.8984992108017</v>
      </c>
      <c r="K352" s="205">
        <f t="shared" si="467"/>
        <v>-16419.175080743909</v>
      </c>
      <c r="L352" s="205">
        <f t="shared" si="468"/>
        <v>428750.37468249659</v>
      </c>
      <c r="M352" s="199"/>
      <c r="N352" s="200">
        <f t="shared" ca="1" si="469"/>
        <v>16</v>
      </c>
      <c r="O352" s="509">
        <f t="shared" ca="1" si="455"/>
        <v>183</v>
      </c>
      <c r="P352" s="200">
        <f t="shared" ca="1" si="456"/>
        <v>16</v>
      </c>
      <c r="Q352" s="201">
        <f t="shared" si="491"/>
        <v>11</v>
      </c>
      <c r="R352" s="202">
        <f t="shared" si="484"/>
        <v>49980</v>
      </c>
      <c r="S352" s="203">
        <f t="shared" si="470"/>
        <v>0.04</v>
      </c>
      <c r="T352" s="204">
        <f t="shared" ca="1" si="471"/>
        <v>148</v>
      </c>
      <c r="U352" s="205">
        <f t="shared" ca="1" si="472"/>
        <v>363629.30625722028</v>
      </c>
      <c r="V352" s="205">
        <f t="shared" ca="1" si="457"/>
        <v>-2387.0764773272981</v>
      </c>
      <c r="W352" s="205">
        <f t="shared" ca="1" si="458"/>
        <v>-1212.0976875240676</v>
      </c>
      <c r="X352" s="205">
        <f t="shared" ca="1" si="473"/>
        <v>-1174.9787898032305</v>
      </c>
      <c r="Y352" s="205">
        <f t="shared" ca="1" si="474"/>
        <v>362454.32746741705</v>
      </c>
      <c r="Z352" s="199"/>
      <c r="AA352" s="200">
        <f t="shared" ca="1" si="462"/>
        <v>28</v>
      </c>
      <c r="AB352" s="509">
        <f t="shared" ca="1" si="459"/>
        <v>334</v>
      </c>
      <c r="AC352" s="200">
        <f t="shared" si="495"/>
        <v>28</v>
      </c>
      <c r="AD352" s="201">
        <f t="shared" si="492"/>
        <v>11</v>
      </c>
      <c r="AE352" s="202">
        <f t="shared" ca="1" si="485"/>
        <v>54575</v>
      </c>
      <c r="AF352" s="203">
        <f>IF(Dashboard!$R$24="Float",AF351+Dashboard!$R$24/12,AF351)</f>
        <v>0.06</v>
      </c>
      <c r="AG352" s="204">
        <f t="shared" si="475"/>
        <v>335</v>
      </c>
      <c r="AH352" s="205">
        <f t="shared" si="476"/>
        <v>0</v>
      </c>
      <c r="AI352" s="205">
        <f t="shared" si="460"/>
        <v>0</v>
      </c>
      <c r="AJ352" s="205">
        <f t="shared" si="461"/>
        <v>0</v>
      </c>
      <c r="AK352" s="205">
        <f t="shared" si="477"/>
        <v>0</v>
      </c>
      <c r="AL352" s="205">
        <f t="shared" si="478"/>
        <v>0</v>
      </c>
      <c r="AM352" s="199"/>
      <c r="AN352" s="200">
        <f t="shared" si="496"/>
        <v>29</v>
      </c>
      <c r="AO352" s="201">
        <f t="shared" si="493"/>
        <v>11</v>
      </c>
      <c r="AP352" s="202">
        <f t="shared" ca="1" si="486"/>
        <v>54575</v>
      </c>
      <c r="AQ352" s="203">
        <f>IF(Dashboard!$S$20="Float",AQ351+Dashboard!$T$20/12,AQ351)</f>
        <v>4.4999999999999998E-2</v>
      </c>
      <c r="AR352" s="204">
        <f t="shared" si="479"/>
        <v>335</v>
      </c>
      <c r="AS352" s="205">
        <f t="shared" si="480"/>
        <v>448009.70268479141</v>
      </c>
      <c r="AT352" s="205">
        <f t="shared" si="463"/>
        <v>-18117.071455543854</v>
      </c>
      <c r="AU352" s="205">
        <f t="shared" si="464"/>
        <v>-1680.0363850679678</v>
      </c>
      <c r="AV352" s="205">
        <f t="shared" si="481"/>
        <v>-16437.035070475886</v>
      </c>
      <c r="AW352" s="205">
        <f t="shared" si="482"/>
        <v>431572.66761431552</v>
      </c>
      <c r="AX352" s="199"/>
    </row>
    <row r="353" spans="1:50">
      <c r="A353" s="73"/>
      <c r="B353" s="570"/>
      <c r="C353" s="200">
        <f t="shared" si="494"/>
        <v>28</v>
      </c>
      <c r="D353" s="201">
        <f t="shared" si="490"/>
        <v>12</v>
      </c>
      <c r="E353" s="202">
        <f t="shared" ca="1" si="483"/>
        <v>54605</v>
      </c>
      <c r="F353" s="203">
        <f>IF(Dashboard!$Q$5="Float",F352+Dashboard!$R$5/12,F352)</f>
        <v>0.04</v>
      </c>
      <c r="G353" s="204">
        <f t="shared" si="465"/>
        <v>336</v>
      </c>
      <c r="H353" s="205">
        <f t="shared" si="466"/>
        <v>428750.37468249659</v>
      </c>
      <c r="I353" s="205">
        <f t="shared" si="453"/>
        <v>-17903.073579954711</v>
      </c>
      <c r="J353" s="205">
        <f t="shared" si="454"/>
        <v>-1429.1679156083219</v>
      </c>
      <c r="K353" s="205">
        <f t="shared" si="467"/>
        <v>-16473.905664346388</v>
      </c>
      <c r="L353" s="205">
        <f t="shared" si="468"/>
        <v>412276.46901815018</v>
      </c>
      <c r="M353" s="199"/>
      <c r="N353" s="200">
        <f t="shared" ca="1" si="469"/>
        <v>16</v>
      </c>
      <c r="O353" s="509">
        <f t="shared" ca="1" si="455"/>
        <v>184</v>
      </c>
      <c r="P353" s="200">
        <f t="shared" ca="1" si="456"/>
        <v>16</v>
      </c>
      <c r="Q353" s="201">
        <f t="shared" si="491"/>
        <v>12</v>
      </c>
      <c r="R353" s="202">
        <f t="shared" si="484"/>
        <v>50010</v>
      </c>
      <c r="S353" s="203">
        <f t="shared" si="470"/>
        <v>0.04</v>
      </c>
      <c r="T353" s="204">
        <f t="shared" ca="1" si="471"/>
        <v>149</v>
      </c>
      <c r="U353" s="205">
        <f t="shared" ca="1" si="472"/>
        <v>362454.32746741705</v>
      </c>
      <c r="V353" s="205">
        <f t="shared" ca="1" si="457"/>
        <v>-2387.0764773272977</v>
      </c>
      <c r="W353" s="205">
        <f t="shared" ca="1" si="458"/>
        <v>-1208.181091558057</v>
      </c>
      <c r="X353" s="205">
        <f t="shared" ca="1" si="473"/>
        <v>-1178.8953857692406</v>
      </c>
      <c r="Y353" s="205">
        <f t="shared" ca="1" si="474"/>
        <v>361275.4320816478</v>
      </c>
      <c r="Z353" s="199"/>
      <c r="AA353" s="200">
        <f t="shared" ca="1" si="462"/>
        <v>28</v>
      </c>
      <c r="AB353" s="509">
        <f t="shared" ca="1" si="459"/>
        <v>335</v>
      </c>
      <c r="AC353" s="200">
        <f t="shared" si="495"/>
        <v>28</v>
      </c>
      <c r="AD353" s="201">
        <f t="shared" si="492"/>
        <v>12</v>
      </c>
      <c r="AE353" s="202">
        <f t="shared" ca="1" si="485"/>
        <v>54605</v>
      </c>
      <c r="AF353" s="203">
        <f>IF(Dashboard!$R$24="Float",AF352+Dashboard!$R$24/12,AF352)</f>
        <v>0.06</v>
      </c>
      <c r="AG353" s="204">
        <f t="shared" si="475"/>
        <v>336</v>
      </c>
      <c r="AH353" s="205">
        <f t="shared" si="476"/>
        <v>0</v>
      </c>
      <c r="AI353" s="205">
        <f t="shared" si="460"/>
        <v>0</v>
      </c>
      <c r="AJ353" s="205">
        <f t="shared" si="461"/>
        <v>0</v>
      </c>
      <c r="AK353" s="205">
        <f t="shared" si="477"/>
        <v>0</v>
      </c>
      <c r="AL353" s="205">
        <f t="shared" si="478"/>
        <v>0</v>
      </c>
      <c r="AM353" s="199"/>
      <c r="AN353" s="200">
        <f t="shared" si="496"/>
        <v>29</v>
      </c>
      <c r="AO353" s="201">
        <f t="shared" si="493"/>
        <v>12</v>
      </c>
      <c r="AP353" s="202">
        <f t="shared" ca="1" si="486"/>
        <v>54605</v>
      </c>
      <c r="AQ353" s="203">
        <f>IF(Dashboard!$S$20="Float",AQ352+Dashboard!$T$20/12,AQ352)</f>
        <v>4.4999999999999998E-2</v>
      </c>
      <c r="AR353" s="204">
        <f t="shared" si="479"/>
        <v>336</v>
      </c>
      <c r="AS353" s="205">
        <f t="shared" si="480"/>
        <v>431572.66761431552</v>
      </c>
      <c r="AT353" s="205">
        <f t="shared" si="463"/>
        <v>-18117.071455543854</v>
      </c>
      <c r="AU353" s="205">
        <f t="shared" si="464"/>
        <v>-1618.3975035536832</v>
      </c>
      <c r="AV353" s="205">
        <f t="shared" si="481"/>
        <v>-16498.673951990171</v>
      </c>
      <c r="AW353" s="205">
        <f t="shared" si="482"/>
        <v>415073.99366232537</v>
      </c>
      <c r="AX353" s="199"/>
    </row>
    <row r="354" spans="1:50">
      <c r="A354" s="73"/>
      <c r="B354" s="571">
        <f>+C354</f>
        <v>29</v>
      </c>
      <c r="C354" s="16">
        <f t="shared" ref="C354" si="497">+C353+1</f>
        <v>29</v>
      </c>
      <c r="D354" s="17">
        <v>1</v>
      </c>
      <c r="E354" s="18">
        <f t="shared" ca="1" si="483"/>
        <v>54636</v>
      </c>
      <c r="F354" s="10">
        <f>IF(Dashboard!$Q$5="Float",F353+Dashboard!$R$5/12,F353)</f>
        <v>0.04</v>
      </c>
      <c r="G354" s="14">
        <f t="shared" si="465"/>
        <v>337</v>
      </c>
      <c r="H354" s="5">
        <f t="shared" si="466"/>
        <v>412276.46901815018</v>
      </c>
      <c r="I354" s="5">
        <f t="shared" si="453"/>
        <v>-17903.073579954711</v>
      </c>
      <c r="J354" s="5">
        <f t="shared" si="454"/>
        <v>-1374.2548967271671</v>
      </c>
      <c r="K354" s="5">
        <f t="shared" si="467"/>
        <v>-16528.818683227542</v>
      </c>
      <c r="L354" s="5">
        <f t="shared" si="468"/>
        <v>395747.65033492266</v>
      </c>
      <c r="M354" s="199"/>
      <c r="N354" s="16">
        <f t="shared" ca="1" si="469"/>
        <v>16</v>
      </c>
      <c r="O354" s="508">
        <f t="shared" ca="1" si="455"/>
        <v>185</v>
      </c>
      <c r="P354" s="16">
        <f t="shared" ca="1" si="456"/>
        <v>16</v>
      </c>
      <c r="Q354" s="17">
        <v>1</v>
      </c>
      <c r="R354" s="18">
        <f t="shared" si="484"/>
        <v>50041</v>
      </c>
      <c r="S354" s="10">
        <f t="shared" si="470"/>
        <v>0.04</v>
      </c>
      <c r="T354" s="14">
        <f t="shared" ca="1" si="471"/>
        <v>150</v>
      </c>
      <c r="U354" s="5">
        <f t="shared" ca="1" si="472"/>
        <v>361275.4320816478</v>
      </c>
      <c r="V354" s="5">
        <f t="shared" ca="1" si="457"/>
        <v>-2387.0764773272977</v>
      </c>
      <c r="W354" s="5">
        <f t="shared" ca="1" si="458"/>
        <v>-1204.2514402721592</v>
      </c>
      <c r="X354" s="5">
        <f t="shared" ca="1" si="473"/>
        <v>-1182.8250370551384</v>
      </c>
      <c r="Y354" s="5">
        <f t="shared" ca="1" si="474"/>
        <v>360092.60704459267</v>
      </c>
      <c r="Z354" s="199"/>
      <c r="AA354" s="16">
        <f t="shared" ca="1" si="462"/>
        <v>28</v>
      </c>
      <c r="AB354" s="508">
        <f t="shared" ca="1" si="459"/>
        <v>336</v>
      </c>
      <c r="AC354" s="16">
        <f t="shared" ref="AC354" si="498">+AC353+1</f>
        <v>29</v>
      </c>
      <c r="AD354" s="17">
        <v>1</v>
      </c>
      <c r="AE354" s="18">
        <f t="shared" ca="1" si="485"/>
        <v>54636</v>
      </c>
      <c r="AF354" s="10">
        <f>IF(Dashboard!$R$24="Float",AF353+Dashboard!$R$24/12,AF353)</f>
        <v>0.06</v>
      </c>
      <c r="AG354" s="14">
        <f t="shared" si="475"/>
        <v>337</v>
      </c>
      <c r="AH354" s="5">
        <f t="shared" si="476"/>
        <v>0</v>
      </c>
      <c r="AI354" s="5">
        <f t="shared" si="460"/>
        <v>0</v>
      </c>
      <c r="AJ354" s="5">
        <f t="shared" si="461"/>
        <v>0</v>
      </c>
      <c r="AK354" s="5">
        <f t="shared" si="477"/>
        <v>0</v>
      </c>
      <c r="AL354" s="5">
        <f t="shared" si="478"/>
        <v>0</v>
      </c>
      <c r="AM354" s="199"/>
      <c r="AN354" s="16">
        <f t="shared" ref="AN354" si="499">+AN353+1</f>
        <v>30</v>
      </c>
      <c r="AO354" s="17">
        <v>1</v>
      </c>
      <c r="AP354" s="18">
        <f t="shared" ca="1" si="486"/>
        <v>54636</v>
      </c>
      <c r="AQ354" s="10">
        <f>IF(Dashboard!$S$20="Float",AQ353+Dashboard!$T$20/12,AQ353)</f>
        <v>4.4999999999999998E-2</v>
      </c>
      <c r="AR354" s="14">
        <f t="shared" si="479"/>
        <v>337</v>
      </c>
      <c r="AS354" s="5">
        <f t="shared" si="480"/>
        <v>415073.99366232537</v>
      </c>
      <c r="AT354" s="5">
        <f t="shared" si="463"/>
        <v>-18117.071455543854</v>
      </c>
      <c r="AU354" s="5">
        <f t="shared" si="464"/>
        <v>-1556.5274762337201</v>
      </c>
      <c r="AV354" s="5">
        <f t="shared" si="481"/>
        <v>-16560.543979310132</v>
      </c>
      <c r="AW354" s="5">
        <f t="shared" si="482"/>
        <v>398513.44968301523</v>
      </c>
      <c r="AX354" s="199"/>
    </row>
    <row r="355" spans="1:50">
      <c r="A355" s="73"/>
      <c r="B355" s="572"/>
      <c r="C355" s="16">
        <f>+C354</f>
        <v>29</v>
      </c>
      <c r="D355" s="17">
        <f>+D354+1</f>
        <v>2</v>
      </c>
      <c r="E355" s="18">
        <f t="shared" ca="1" si="483"/>
        <v>54667</v>
      </c>
      <c r="F355" s="10">
        <f>IF(Dashboard!$Q$5="Float",F354+Dashboard!$R$5/12,F354)</f>
        <v>0.04</v>
      </c>
      <c r="G355" s="14">
        <f t="shared" si="465"/>
        <v>338</v>
      </c>
      <c r="H355" s="5">
        <f t="shared" si="466"/>
        <v>395747.65033492266</v>
      </c>
      <c r="I355" s="5">
        <f t="shared" si="453"/>
        <v>-17903.073579954715</v>
      </c>
      <c r="J355" s="5">
        <f t="shared" si="454"/>
        <v>-1319.1588344497422</v>
      </c>
      <c r="K355" s="5">
        <f t="shared" si="467"/>
        <v>-16583.914745504972</v>
      </c>
      <c r="L355" s="5">
        <f t="shared" si="468"/>
        <v>379163.73558941769</v>
      </c>
      <c r="M355" s="199"/>
      <c r="N355" s="16">
        <f t="shared" ca="1" si="469"/>
        <v>16</v>
      </c>
      <c r="O355" s="508">
        <f t="shared" ca="1" si="455"/>
        <v>186</v>
      </c>
      <c r="P355" s="16">
        <f t="shared" ca="1" si="456"/>
        <v>16</v>
      </c>
      <c r="Q355" s="17">
        <f>+Q354+1</f>
        <v>2</v>
      </c>
      <c r="R355" s="18">
        <f t="shared" si="484"/>
        <v>50072</v>
      </c>
      <c r="S355" s="10">
        <f t="shared" si="470"/>
        <v>0.04</v>
      </c>
      <c r="T355" s="14">
        <f t="shared" ca="1" si="471"/>
        <v>151</v>
      </c>
      <c r="U355" s="5">
        <f t="shared" ca="1" si="472"/>
        <v>360092.60704459267</v>
      </c>
      <c r="V355" s="5">
        <f t="shared" ca="1" si="457"/>
        <v>-2387.0764773272972</v>
      </c>
      <c r="W355" s="5">
        <f t="shared" ca="1" si="458"/>
        <v>-1200.3086901486422</v>
      </c>
      <c r="X355" s="5">
        <f t="shared" ca="1" si="473"/>
        <v>-1186.767787178655</v>
      </c>
      <c r="Y355" s="5">
        <f t="shared" ca="1" si="474"/>
        <v>358905.83925741405</v>
      </c>
      <c r="Z355" s="199"/>
      <c r="AA355" s="16">
        <f t="shared" ca="1" si="462"/>
        <v>29</v>
      </c>
      <c r="AB355" s="508">
        <f t="shared" ca="1" si="459"/>
        <v>337</v>
      </c>
      <c r="AC355" s="16">
        <f>+AC354</f>
        <v>29</v>
      </c>
      <c r="AD355" s="17">
        <f>+AD354+1</f>
        <v>2</v>
      </c>
      <c r="AE355" s="18">
        <f t="shared" ca="1" si="485"/>
        <v>54667</v>
      </c>
      <c r="AF355" s="10">
        <f>IF(Dashboard!$R$24="Float",AF354+Dashboard!$R$24/12,AF354)</f>
        <v>0.06</v>
      </c>
      <c r="AG355" s="14">
        <f t="shared" si="475"/>
        <v>338</v>
      </c>
      <c r="AH355" s="5">
        <f t="shared" si="476"/>
        <v>0</v>
      </c>
      <c r="AI355" s="5">
        <f t="shared" si="460"/>
        <v>0</v>
      </c>
      <c r="AJ355" s="5">
        <f t="shared" si="461"/>
        <v>0</v>
      </c>
      <c r="AK355" s="5">
        <f t="shared" si="477"/>
        <v>0</v>
      </c>
      <c r="AL355" s="5">
        <f t="shared" si="478"/>
        <v>0</v>
      </c>
      <c r="AM355" s="199"/>
      <c r="AN355" s="16">
        <f>+AN354</f>
        <v>30</v>
      </c>
      <c r="AO355" s="17">
        <f>+AO354+1</f>
        <v>2</v>
      </c>
      <c r="AP355" s="18">
        <f t="shared" ca="1" si="486"/>
        <v>54667</v>
      </c>
      <c r="AQ355" s="10">
        <f>IF(Dashboard!$S$20="Float",AQ354+Dashboard!$T$20/12,AQ354)</f>
        <v>4.4999999999999998E-2</v>
      </c>
      <c r="AR355" s="14">
        <f t="shared" si="479"/>
        <v>338</v>
      </c>
      <c r="AS355" s="5">
        <f t="shared" si="480"/>
        <v>398513.44968301523</v>
      </c>
      <c r="AT355" s="5">
        <f t="shared" si="463"/>
        <v>-18117.071455543854</v>
      </c>
      <c r="AU355" s="5">
        <f t="shared" si="464"/>
        <v>-1494.4254363113071</v>
      </c>
      <c r="AV355" s="5">
        <f t="shared" si="481"/>
        <v>-16622.646019232547</v>
      </c>
      <c r="AW355" s="5">
        <f t="shared" si="482"/>
        <v>381890.80366378266</v>
      </c>
      <c r="AX355" s="199"/>
    </row>
    <row r="356" spans="1:50">
      <c r="A356" s="73"/>
      <c r="B356" s="572"/>
      <c r="C356" s="16">
        <f>+C355</f>
        <v>29</v>
      </c>
      <c r="D356" s="17">
        <f>+D355+1</f>
        <v>3</v>
      </c>
      <c r="E356" s="18">
        <f t="shared" ca="1" si="483"/>
        <v>54697</v>
      </c>
      <c r="F356" s="10">
        <f>IF(Dashboard!$Q$5="Float",F355+Dashboard!$R$5/12,F355)</f>
        <v>0.04</v>
      </c>
      <c r="G356" s="14">
        <f t="shared" si="465"/>
        <v>339</v>
      </c>
      <c r="H356" s="5">
        <f t="shared" si="466"/>
        <v>379163.73558941769</v>
      </c>
      <c r="I356" s="5">
        <f t="shared" si="453"/>
        <v>-17903.073579954711</v>
      </c>
      <c r="J356" s="5">
        <f t="shared" si="454"/>
        <v>-1263.8791186313922</v>
      </c>
      <c r="K356" s="5">
        <f t="shared" si="467"/>
        <v>-16639.194461323317</v>
      </c>
      <c r="L356" s="5">
        <f t="shared" si="468"/>
        <v>362524.54112809437</v>
      </c>
      <c r="M356" s="199"/>
      <c r="N356" s="16">
        <f t="shared" ca="1" si="469"/>
        <v>16</v>
      </c>
      <c r="O356" s="508">
        <f t="shared" ca="1" si="455"/>
        <v>187</v>
      </c>
      <c r="P356" s="16">
        <f t="shared" ca="1" si="456"/>
        <v>16</v>
      </c>
      <c r="Q356" s="17">
        <f>+Q355+1</f>
        <v>3</v>
      </c>
      <c r="R356" s="18">
        <f t="shared" si="484"/>
        <v>50100</v>
      </c>
      <c r="S356" s="10">
        <f t="shared" si="470"/>
        <v>0.04</v>
      </c>
      <c r="T356" s="14">
        <f t="shared" ca="1" si="471"/>
        <v>152</v>
      </c>
      <c r="U356" s="5">
        <f t="shared" ca="1" si="472"/>
        <v>358905.83925741405</v>
      </c>
      <c r="V356" s="5">
        <f t="shared" ca="1" si="457"/>
        <v>-2387.0764773272981</v>
      </c>
      <c r="W356" s="5">
        <f t="shared" ca="1" si="458"/>
        <v>-1196.3527975247137</v>
      </c>
      <c r="X356" s="5">
        <f t="shared" ca="1" si="473"/>
        <v>-1190.7236798025845</v>
      </c>
      <c r="Y356" s="5">
        <f t="shared" ca="1" si="474"/>
        <v>357715.11557761143</v>
      </c>
      <c r="Z356" s="199"/>
      <c r="AA356" s="16">
        <f t="shared" ca="1" si="462"/>
        <v>29</v>
      </c>
      <c r="AB356" s="508">
        <f t="shared" ca="1" si="459"/>
        <v>338</v>
      </c>
      <c r="AC356" s="16">
        <f>+AC355</f>
        <v>29</v>
      </c>
      <c r="AD356" s="17">
        <f>+AD355+1</f>
        <v>3</v>
      </c>
      <c r="AE356" s="18">
        <f t="shared" ca="1" si="485"/>
        <v>54697</v>
      </c>
      <c r="AF356" s="10">
        <f>IF(Dashboard!$R$24="Float",AF355+Dashboard!$R$24/12,AF355)</f>
        <v>0.06</v>
      </c>
      <c r="AG356" s="14">
        <f t="shared" si="475"/>
        <v>339</v>
      </c>
      <c r="AH356" s="5">
        <f t="shared" si="476"/>
        <v>0</v>
      </c>
      <c r="AI356" s="5">
        <f t="shared" si="460"/>
        <v>0</v>
      </c>
      <c r="AJ356" s="5">
        <f t="shared" si="461"/>
        <v>0</v>
      </c>
      <c r="AK356" s="5">
        <f t="shared" si="477"/>
        <v>0</v>
      </c>
      <c r="AL356" s="5">
        <f t="shared" si="478"/>
        <v>0</v>
      </c>
      <c r="AM356" s="199"/>
      <c r="AN356" s="16">
        <f>+AN355</f>
        <v>30</v>
      </c>
      <c r="AO356" s="17">
        <f>+AO355+1</f>
        <v>3</v>
      </c>
      <c r="AP356" s="18">
        <f t="shared" ca="1" si="486"/>
        <v>54697</v>
      </c>
      <c r="AQ356" s="10">
        <f>IF(Dashboard!$S$20="Float",AQ355+Dashboard!$T$20/12,AQ355)</f>
        <v>4.4999999999999998E-2</v>
      </c>
      <c r="AR356" s="14">
        <f t="shared" si="479"/>
        <v>339</v>
      </c>
      <c r="AS356" s="5">
        <f t="shared" si="480"/>
        <v>381890.80366378266</v>
      </c>
      <c r="AT356" s="5">
        <f t="shared" si="463"/>
        <v>-18117.071455543854</v>
      </c>
      <c r="AU356" s="5">
        <f t="shared" si="464"/>
        <v>-1432.0905137391849</v>
      </c>
      <c r="AV356" s="5">
        <f t="shared" si="481"/>
        <v>-16684.980941804668</v>
      </c>
      <c r="AW356" s="5">
        <f t="shared" si="482"/>
        <v>365205.82272197801</v>
      </c>
      <c r="AX356" s="199"/>
    </row>
    <row r="357" spans="1:50">
      <c r="A357" s="73"/>
      <c r="B357" s="572"/>
      <c r="C357" s="16">
        <f>+C356</f>
        <v>29</v>
      </c>
      <c r="D357" s="17">
        <f t="shared" ref="D357:D365" si="500">+D356+1</f>
        <v>4</v>
      </c>
      <c r="E357" s="18">
        <f t="shared" ca="1" si="483"/>
        <v>54728</v>
      </c>
      <c r="F357" s="10">
        <f>IF(Dashboard!$Q$5="Float",F356+Dashboard!$R$5/12,F356)</f>
        <v>0.04</v>
      </c>
      <c r="G357" s="14">
        <f t="shared" si="465"/>
        <v>340</v>
      </c>
      <c r="H357" s="5">
        <f t="shared" si="466"/>
        <v>362524.54112809437</v>
      </c>
      <c r="I357" s="5">
        <f t="shared" si="453"/>
        <v>-17903.073579954715</v>
      </c>
      <c r="J357" s="5">
        <f t="shared" si="454"/>
        <v>-1208.4151370936479</v>
      </c>
      <c r="K357" s="5">
        <f t="shared" si="467"/>
        <v>-16694.658442861066</v>
      </c>
      <c r="L357" s="5">
        <f t="shared" si="468"/>
        <v>345829.88268523331</v>
      </c>
      <c r="M357" s="199"/>
      <c r="N357" s="16">
        <f t="shared" ca="1" si="469"/>
        <v>16</v>
      </c>
      <c r="O357" s="508">
        <f t="shared" ca="1" si="455"/>
        <v>188</v>
      </c>
      <c r="P357" s="16">
        <f t="shared" ca="1" si="456"/>
        <v>16</v>
      </c>
      <c r="Q357" s="17">
        <f t="shared" ref="Q357:Q365" si="501">+Q356+1</f>
        <v>4</v>
      </c>
      <c r="R357" s="18">
        <f t="shared" si="484"/>
        <v>50131</v>
      </c>
      <c r="S357" s="10">
        <f t="shared" si="470"/>
        <v>0.04</v>
      </c>
      <c r="T357" s="14">
        <f t="shared" ca="1" si="471"/>
        <v>153</v>
      </c>
      <c r="U357" s="5">
        <f t="shared" ca="1" si="472"/>
        <v>357715.11557761143</v>
      </c>
      <c r="V357" s="5">
        <f t="shared" ca="1" si="457"/>
        <v>-2387.0764773272977</v>
      </c>
      <c r="W357" s="5">
        <f t="shared" ca="1" si="458"/>
        <v>-1192.3837185920381</v>
      </c>
      <c r="X357" s="5">
        <f t="shared" ca="1" si="473"/>
        <v>-1194.6927587352595</v>
      </c>
      <c r="Y357" s="5">
        <f t="shared" ca="1" si="474"/>
        <v>356520.42281887616</v>
      </c>
      <c r="Z357" s="199"/>
      <c r="AA357" s="16">
        <f t="shared" ca="1" si="462"/>
        <v>29</v>
      </c>
      <c r="AB357" s="508">
        <f t="shared" ca="1" si="459"/>
        <v>339</v>
      </c>
      <c r="AC357" s="16">
        <f>+AC356</f>
        <v>29</v>
      </c>
      <c r="AD357" s="17">
        <f t="shared" ref="AD357:AD365" si="502">+AD356+1</f>
        <v>4</v>
      </c>
      <c r="AE357" s="18">
        <f t="shared" ca="1" si="485"/>
        <v>54728</v>
      </c>
      <c r="AF357" s="10">
        <f>IF(Dashboard!$R$24="Float",AF356+Dashboard!$R$24/12,AF356)</f>
        <v>0.06</v>
      </c>
      <c r="AG357" s="14">
        <f t="shared" si="475"/>
        <v>340</v>
      </c>
      <c r="AH357" s="5">
        <f t="shared" si="476"/>
        <v>0</v>
      </c>
      <c r="AI357" s="5">
        <f t="shared" si="460"/>
        <v>0</v>
      </c>
      <c r="AJ357" s="5">
        <f t="shared" si="461"/>
        <v>0</v>
      </c>
      <c r="AK357" s="5">
        <f t="shared" si="477"/>
        <v>0</v>
      </c>
      <c r="AL357" s="5">
        <f t="shared" si="478"/>
        <v>0</v>
      </c>
      <c r="AM357" s="199"/>
      <c r="AN357" s="16">
        <f>+AN356</f>
        <v>30</v>
      </c>
      <c r="AO357" s="17">
        <f t="shared" ref="AO357:AO365" si="503">+AO356+1</f>
        <v>4</v>
      </c>
      <c r="AP357" s="18">
        <f t="shared" ca="1" si="486"/>
        <v>54728</v>
      </c>
      <c r="AQ357" s="10">
        <f>IF(Dashboard!$S$20="Float",AQ356+Dashboard!$T$20/12,AQ356)</f>
        <v>4.4999999999999998E-2</v>
      </c>
      <c r="AR357" s="14">
        <f t="shared" si="479"/>
        <v>340</v>
      </c>
      <c r="AS357" s="5">
        <f t="shared" si="480"/>
        <v>365205.82272197801</v>
      </c>
      <c r="AT357" s="5">
        <f t="shared" si="463"/>
        <v>-18117.07145554385</v>
      </c>
      <c r="AU357" s="5">
        <f t="shared" si="464"/>
        <v>-1369.5218352074173</v>
      </c>
      <c r="AV357" s="5">
        <f t="shared" si="481"/>
        <v>-16747.549620336431</v>
      </c>
      <c r="AW357" s="5">
        <f t="shared" si="482"/>
        <v>348458.27310164156</v>
      </c>
      <c r="AX357" s="199"/>
    </row>
    <row r="358" spans="1:50">
      <c r="A358" s="73"/>
      <c r="B358" s="572"/>
      <c r="C358" s="16">
        <f t="shared" ref="C358:C365" si="504">+C357</f>
        <v>29</v>
      </c>
      <c r="D358" s="17">
        <f t="shared" si="500"/>
        <v>5</v>
      </c>
      <c r="E358" s="18">
        <f t="shared" ca="1" si="483"/>
        <v>54758</v>
      </c>
      <c r="F358" s="10">
        <f>IF(Dashboard!$Q$5="Float",F357+Dashboard!$R$5/12,F357)</f>
        <v>0.04</v>
      </c>
      <c r="G358" s="14">
        <f t="shared" si="465"/>
        <v>341</v>
      </c>
      <c r="H358" s="5">
        <f t="shared" si="466"/>
        <v>345829.88268523331</v>
      </c>
      <c r="I358" s="5">
        <f t="shared" si="453"/>
        <v>-17903.073579954711</v>
      </c>
      <c r="J358" s="5">
        <f t="shared" si="454"/>
        <v>-1152.7662756174443</v>
      </c>
      <c r="K358" s="5">
        <f t="shared" si="467"/>
        <v>-16750.307304337268</v>
      </c>
      <c r="L358" s="5">
        <f t="shared" si="468"/>
        <v>329079.57538089604</v>
      </c>
      <c r="M358" s="199"/>
      <c r="N358" s="16">
        <f t="shared" ca="1" si="469"/>
        <v>16</v>
      </c>
      <c r="O358" s="508">
        <f t="shared" ca="1" si="455"/>
        <v>189</v>
      </c>
      <c r="P358" s="16">
        <f t="shared" ca="1" si="456"/>
        <v>16</v>
      </c>
      <c r="Q358" s="17">
        <f t="shared" si="501"/>
        <v>5</v>
      </c>
      <c r="R358" s="18">
        <f t="shared" si="484"/>
        <v>50161</v>
      </c>
      <c r="S358" s="10">
        <f t="shared" si="470"/>
        <v>0.04</v>
      </c>
      <c r="T358" s="14">
        <f t="shared" ca="1" si="471"/>
        <v>154</v>
      </c>
      <c r="U358" s="5">
        <f t="shared" ca="1" si="472"/>
        <v>356520.42281887616</v>
      </c>
      <c r="V358" s="5">
        <f t="shared" ca="1" si="457"/>
        <v>-2387.0764773272977</v>
      </c>
      <c r="W358" s="5">
        <f t="shared" ca="1" si="458"/>
        <v>-1188.4014093962539</v>
      </c>
      <c r="X358" s="5">
        <f t="shared" ca="1" si="473"/>
        <v>-1198.6750679310437</v>
      </c>
      <c r="Y358" s="5">
        <f t="shared" ca="1" si="474"/>
        <v>355321.7477509451</v>
      </c>
      <c r="Z358" s="199"/>
      <c r="AA358" s="16">
        <f t="shared" ca="1" si="462"/>
        <v>29</v>
      </c>
      <c r="AB358" s="508">
        <f t="shared" ca="1" si="459"/>
        <v>340</v>
      </c>
      <c r="AC358" s="16">
        <f t="shared" ref="AC358:AC365" si="505">+AC357</f>
        <v>29</v>
      </c>
      <c r="AD358" s="17">
        <f t="shared" si="502"/>
        <v>5</v>
      </c>
      <c r="AE358" s="18">
        <f t="shared" ca="1" si="485"/>
        <v>54758</v>
      </c>
      <c r="AF358" s="10">
        <f>IF(Dashboard!$R$24="Float",AF357+Dashboard!$R$24/12,AF357)</f>
        <v>0.06</v>
      </c>
      <c r="AG358" s="14">
        <f t="shared" si="475"/>
        <v>341</v>
      </c>
      <c r="AH358" s="5">
        <f t="shared" si="476"/>
        <v>0</v>
      </c>
      <c r="AI358" s="5">
        <f t="shared" si="460"/>
        <v>0</v>
      </c>
      <c r="AJ358" s="5">
        <f t="shared" si="461"/>
        <v>0</v>
      </c>
      <c r="AK358" s="5">
        <f t="shared" si="477"/>
        <v>0</v>
      </c>
      <c r="AL358" s="5">
        <f t="shared" si="478"/>
        <v>0</v>
      </c>
      <c r="AM358" s="199"/>
      <c r="AN358" s="16">
        <f t="shared" ref="AN358:AN365" si="506">+AN357</f>
        <v>30</v>
      </c>
      <c r="AO358" s="17">
        <f t="shared" si="503"/>
        <v>5</v>
      </c>
      <c r="AP358" s="18">
        <f t="shared" ca="1" si="486"/>
        <v>54758</v>
      </c>
      <c r="AQ358" s="10">
        <f>IF(Dashboard!$S$20="Float",AQ357+Dashboard!$T$20/12,AQ357)</f>
        <v>4.4999999999999998E-2</v>
      </c>
      <c r="AR358" s="14">
        <f t="shared" si="479"/>
        <v>341</v>
      </c>
      <c r="AS358" s="5">
        <f t="shared" si="480"/>
        <v>348458.27310164156</v>
      </c>
      <c r="AT358" s="5">
        <f t="shared" si="463"/>
        <v>-18117.071455543854</v>
      </c>
      <c r="AU358" s="5">
        <f t="shared" si="464"/>
        <v>-1306.7185241311558</v>
      </c>
      <c r="AV358" s="5">
        <f t="shared" si="481"/>
        <v>-16810.352931412697</v>
      </c>
      <c r="AW358" s="5">
        <f t="shared" si="482"/>
        <v>331647.92017022887</v>
      </c>
      <c r="AX358" s="199"/>
    </row>
    <row r="359" spans="1:50">
      <c r="A359" s="73"/>
      <c r="B359" s="572"/>
      <c r="C359" s="16">
        <f t="shared" si="504"/>
        <v>29</v>
      </c>
      <c r="D359" s="17">
        <f t="shared" si="500"/>
        <v>6</v>
      </c>
      <c r="E359" s="18">
        <f t="shared" ca="1" si="483"/>
        <v>54789</v>
      </c>
      <c r="F359" s="10">
        <f>IF(Dashboard!$Q$5="Float",F358+Dashboard!$R$5/12,F358)</f>
        <v>0.04</v>
      </c>
      <c r="G359" s="14">
        <f t="shared" si="465"/>
        <v>342</v>
      </c>
      <c r="H359" s="5">
        <f t="shared" si="466"/>
        <v>329079.57538089604</v>
      </c>
      <c r="I359" s="5">
        <f t="shared" si="453"/>
        <v>-17903.073579954715</v>
      </c>
      <c r="J359" s="5">
        <f t="shared" si="454"/>
        <v>-1096.9319179363201</v>
      </c>
      <c r="K359" s="5">
        <f t="shared" si="467"/>
        <v>-16806.141662018395</v>
      </c>
      <c r="L359" s="5">
        <f t="shared" si="468"/>
        <v>312273.43371887767</v>
      </c>
      <c r="M359" s="199"/>
      <c r="N359" s="16">
        <f t="shared" ca="1" si="469"/>
        <v>16</v>
      </c>
      <c r="O359" s="508">
        <f t="shared" ca="1" si="455"/>
        <v>190</v>
      </c>
      <c r="P359" s="16">
        <f t="shared" ca="1" si="456"/>
        <v>16</v>
      </c>
      <c r="Q359" s="17">
        <f t="shared" si="501"/>
        <v>6</v>
      </c>
      <c r="R359" s="18">
        <f t="shared" si="484"/>
        <v>50192</v>
      </c>
      <c r="S359" s="10">
        <f t="shared" si="470"/>
        <v>0.04</v>
      </c>
      <c r="T359" s="14">
        <f t="shared" ca="1" si="471"/>
        <v>155</v>
      </c>
      <c r="U359" s="5">
        <f t="shared" ca="1" si="472"/>
        <v>355321.7477509451</v>
      </c>
      <c r="V359" s="5">
        <f t="shared" ca="1" si="457"/>
        <v>-2387.0764773272977</v>
      </c>
      <c r="W359" s="5">
        <f t="shared" ca="1" si="458"/>
        <v>-1184.4058258364837</v>
      </c>
      <c r="X359" s="5">
        <f t="shared" ca="1" si="473"/>
        <v>-1202.670651490814</v>
      </c>
      <c r="Y359" s="5">
        <f t="shared" ca="1" si="474"/>
        <v>354119.0770994543</v>
      </c>
      <c r="Z359" s="199"/>
      <c r="AA359" s="16">
        <f t="shared" ca="1" si="462"/>
        <v>29</v>
      </c>
      <c r="AB359" s="508">
        <f t="shared" ca="1" si="459"/>
        <v>341</v>
      </c>
      <c r="AC359" s="16">
        <f t="shared" si="505"/>
        <v>29</v>
      </c>
      <c r="AD359" s="17">
        <f t="shared" si="502"/>
        <v>6</v>
      </c>
      <c r="AE359" s="18">
        <f t="shared" ca="1" si="485"/>
        <v>54789</v>
      </c>
      <c r="AF359" s="10">
        <f>IF(Dashboard!$R$24="Float",AF358+Dashboard!$R$24/12,AF358)</f>
        <v>0.06</v>
      </c>
      <c r="AG359" s="14">
        <f t="shared" si="475"/>
        <v>342</v>
      </c>
      <c r="AH359" s="5">
        <f t="shared" si="476"/>
        <v>0</v>
      </c>
      <c r="AI359" s="5">
        <f t="shared" si="460"/>
        <v>0</v>
      </c>
      <c r="AJ359" s="5">
        <f t="shared" si="461"/>
        <v>0</v>
      </c>
      <c r="AK359" s="5">
        <f t="shared" si="477"/>
        <v>0</v>
      </c>
      <c r="AL359" s="5">
        <f t="shared" si="478"/>
        <v>0</v>
      </c>
      <c r="AM359" s="199"/>
      <c r="AN359" s="16">
        <f t="shared" si="506"/>
        <v>30</v>
      </c>
      <c r="AO359" s="17">
        <f t="shared" si="503"/>
        <v>6</v>
      </c>
      <c r="AP359" s="18">
        <f t="shared" ca="1" si="486"/>
        <v>54789</v>
      </c>
      <c r="AQ359" s="10">
        <f>IF(Dashboard!$S$20="Float",AQ358+Dashboard!$T$20/12,AQ358)</f>
        <v>4.4999999999999998E-2</v>
      </c>
      <c r="AR359" s="14">
        <f t="shared" si="479"/>
        <v>342</v>
      </c>
      <c r="AS359" s="5">
        <f t="shared" si="480"/>
        <v>331647.92017022887</v>
      </c>
      <c r="AT359" s="5">
        <f t="shared" si="463"/>
        <v>-18117.071455543854</v>
      </c>
      <c r="AU359" s="5">
        <f t="shared" si="464"/>
        <v>-1243.6797006383583</v>
      </c>
      <c r="AV359" s="5">
        <f t="shared" si="481"/>
        <v>-16873.391754905497</v>
      </c>
      <c r="AW359" s="5">
        <f t="shared" si="482"/>
        <v>314774.52841532335</v>
      </c>
      <c r="AX359" s="199"/>
    </row>
    <row r="360" spans="1:50">
      <c r="A360" s="73"/>
      <c r="B360" s="572"/>
      <c r="C360" s="16">
        <f t="shared" si="504"/>
        <v>29</v>
      </c>
      <c r="D360" s="17">
        <f t="shared" si="500"/>
        <v>7</v>
      </c>
      <c r="E360" s="18">
        <f t="shared" ca="1" si="483"/>
        <v>54820</v>
      </c>
      <c r="F360" s="10">
        <f>IF(Dashboard!$Q$5="Float",F359+Dashboard!$R$5/12,F359)</f>
        <v>0.04</v>
      </c>
      <c r="G360" s="14">
        <f t="shared" si="465"/>
        <v>343</v>
      </c>
      <c r="H360" s="5">
        <f t="shared" si="466"/>
        <v>312273.43371887767</v>
      </c>
      <c r="I360" s="5">
        <f t="shared" si="453"/>
        <v>-17903.073579954715</v>
      </c>
      <c r="J360" s="5">
        <f t="shared" si="454"/>
        <v>-1040.9114457295923</v>
      </c>
      <c r="K360" s="5">
        <f t="shared" si="467"/>
        <v>-16862.162134225124</v>
      </c>
      <c r="L360" s="5">
        <f t="shared" si="468"/>
        <v>295411.27158465254</v>
      </c>
      <c r="M360" s="199"/>
      <c r="N360" s="16">
        <f t="shared" ca="1" si="469"/>
        <v>16</v>
      </c>
      <c r="O360" s="508">
        <f t="shared" ca="1" si="455"/>
        <v>191</v>
      </c>
      <c r="P360" s="16">
        <f t="shared" ca="1" si="456"/>
        <v>16</v>
      </c>
      <c r="Q360" s="17">
        <f t="shared" si="501"/>
        <v>7</v>
      </c>
      <c r="R360" s="18">
        <f t="shared" si="484"/>
        <v>50222</v>
      </c>
      <c r="S360" s="10">
        <f t="shared" si="470"/>
        <v>0.04</v>
      </c>
      <c r="T360" s="14">
        <f t="shared" ca="1" si="471"/>
        <v>156</v>
      </c>
      <c r="U360" s="5">
        <f t="shared" ca="1" si="472"/>
        <v>354119.0770994543</v>
      </c>
      <c r="V360" s="5">
        <f t="shared" ca="1" si="457"/>
        <v>-2387.0764773272972</v>
      </c>
      <c r="W360" s="5">
        <f t="shared" ca="1" si="458"/>
        <v>-1180.3969236648477</v>
      </c>
      <c r="X360" s="5">
        <f t="shared" ca="1" si="473"/>
        <v>-1206.6795536624495</v>
      </c>
      <c r="Y360" s="5">
        <f t="shared" ca="1" si="474"/>
        <v>352912.39754579187</v>
      </c>
      <c r="Z360" s="199"/>
      <c r="AA360" s="16">
        <f t="shared" ca="1" si="462"/>
        <v>29</v>
      </c>
      <c r="AB360" s="508">
        <f t="shared" ca="1" si="459"/>
        <v>342</v>
      </c>
      <c r="AC360" s="16">
        <f t="shared" si="505"/>
        <v>29</v>
      </c>
      <c r="AD360" s="17">
        <f t="shared" si="502"/>
        <v>7</v>
      </c>
      <c r="AE360" s="18">
        <f t="shared" ca="1" si="485"/>
        <v>54820</v>
      </c>
      <c r="AF360" s="10">
        <f>IF(Dashboard!$R$24="Float",AF359+Dashboard!$R$24/12,AF359)</f>
        <v>0.06</v>
      </c>
      <c r="AG360" s="14">
        <f t="shared" si="475"/>
        <v>343</v>
      </c>
      <c r="AH360" s="5">
        <f t="shared" si="476"/>
        <v>0</v>
      </c>
      <c r="AI360" s="5">
        <f t="shared" si="460"/>
        <v>0</v>
      </c>
      <c r="AJ360" s="5">
        <f t="shared" si="461"/>
        <v>0</v>
      </c>
      <c r="AK360" s="5">
        <f t="shared" si="477"/>
        <v>0</v>
      </c>
      <c r="AL360" s="5">
        <f t="shared" si="478"/>
        <v>0</v>
      </c>
      <c r="AM360" s="199"/>
      <c r="AN360" s="16">
        <f t="shared" si="506"/>
        <v>30</v>
      </c>
      <c r="AO360" s="17">
        <f t="shared" si="503"/>
        <v>7</v>
      </c>
      <c r="AP360" s="18">
        <f t="shared" ca="1" si="486"/>
        <v>54820</v>
      </c>
      <c r="AQ360" s="10">
        <f>IF(Dashboard!$S$20="Float",AQ359+Dashboard!$T$20/12,AQ359)</f>
        <v>4.4999999999999998E-2</v>
      </c>
      <c r="AR360" s="14">
        <f t="shared" si="479"/>
        <v>343</v>
      </c>
      <c r="AS360" s="5">
        <f t="shared" si="480"/>
        <v>314774.52841532335</v>
      </c>
      <c r="AT360" s="5">
        <f t="shared" si="463"/>
        <v>-18117.071455543854</v>
      </c>
      <c r="AU360" s="5">
        <f t="shared" si="464"/>
        <v>-1180.4044815574625</v>
      </c>
      <c r="AV360" s="5">
        <f t="shared" si="481"/>
        <v>-16936.66697398639</v>
      </c>
      <c r="AW360" s="5">
        <f t="shared" si="482"/>
        <v>297837.86144133698</v>
      </c>
      <c r="AX360" s="199"/>
    </row>
    <row r="361" spans="1:50">
      <c r="A361" s="73"/>
      <c r="B361" s="572"/>
      <c r="C361" s="16">
        <f t="shared" si="504"/>
        <v>29</v>
      </c>
      <c r="D361" s="17">
        <f t="shared" si="500"/>
        <v>8</v>
      </c>
      <c r="E361" s="18">
        <f t="shared" ca="1" si="483"/>
        <v>54848</v>
      </c>
      <c r="F361" s="10">
        <f>IF(Dashboard!$Q$5="Float",F360+Dashboard!$R$5/12,F360)</f>
        <v>0.04</v>
      </c>
      <c r="G361" s="14">
        <f t="shared" si="465"/>
        <v>344</v>
      </c>
      <c r="H361" s="5">
        <f t="shared" si="466"/>
        <v>295411.27158465254</v>
      </c>
      <c r="I361" s="5">
        <f t="shared" si="453"/>
        <v>-17903.073579954711</v>
      </c>
      <c r="J361" s="5">
        <f t="shared" si="454"/>
        <v>-984.70423861550853</v>
      </c>
      <c r="K361" s="5">
        <f t="shared" si="467"/>
        <v>-16918.369341339203</v>
      </c>
      <c r="L361" s="5">
        <f t="shared" si="468"/>
        <v>278492.90224331332</v>
      </c>
      <c r="M361" s="199"/>
      <c r="N361" s="16">
        <f t="shared" ca="1" si="469"/>
        <v>16</v>
      </c>
      <c r="O361" s="508">
        <f t="shared" ca="1" si="455"/>
        <v>192</v>
      </c>
      <c r="P361" s="16">
        <f t="shared" ca="1" si="456"/>
        <v>17</v>
      </c>
      <c r="Q361" s="17">
        <f t="shared" si="501"/>
        <v>8</v>
      </c>
      <c r="R361" s="18">
        <f t="shared" si="484"/>
        <v>50253</v>
      </c>
      <c r="S361" s="10">
        <f t="shared" si="470"/>
        <v>0.04</v>
      </c>
      <c r="T361" s="14">
        <f t="shared" ca="1" si="471"/>
        <v>157</v>
      </c>
      <c r="U361" s="5">
        <f t="shared" ca="1" si="472"/>
        <v>352912.39754579187</v>
      </c>
      <c r="V361" s="5">
        <f t="shared" ca="1" si="457"/>
        <v>-2387.0764773272972</v>
      </c>
      <c r="W361" s="5">
        <f t="shared" ca="1" si="458"/>
        <v>-1176.374658485973</v>
      </c>
      <c r="X361" s="5">
        <f t="shared" ca="1" si="473"/>
        <v>-1210.7018188413242</v>
      </c>
      <c r="Y361" s="5">
        <f t="shared" ca="1" si="474"/>
        <v>351701.69572695054</v>
      </c>
      <c r="Z361" s="199"/>
      <c r="AA361" s="16">
        <f t="shared" ca="1" si="462"/>
        <v>29</v>
      </c>
      <c r="AB361" s="508">
        <f t="shared" ca="1" si="459"/>
        <v>343</v>
      </c>
      <c r="AC361" s="16">
        <f t="shared" si="505"/>
        <v>29</v>
      </c>
      <c r="AD361" s="17">
        <f t="shared" si="502"/>
        <v>8</v>
      </c>
      <c r="AE361" s="18">
        <f t="shared" ca="1" si="485"/>
        <v>54848</v>
      </c>
      <c r="AF361" s="10">
        <f>IF(Dashboard!$R$24="Float",AF360+Dashboard!$R$24/12,AF360)</f>
        <v>0.06</v>
      </c>
      <c r="AG361" s="14">
        <f t="shared" si="475"/>
        <v>344</v>
      </c>
      <c r="AH361" s="5">
        <f t="shared" si="476"/>
        <v>0</v>
      </c>
      <c r="AI361" s="5">
        <f t="shared" si="460"/>
        <v>0</v>
      </c>
      <c r="AJ361" s="5">
        <f t="shared" si="461"/>
        <v>0</v>
      </c>
      <c r="AK361" s="5">
        <f t="shared" si="477"/>
        <v>0</v>
      </c>
      <c r="AL361" s="5">
        <f t="shared" si="478"/>
        <v>0</v>
      </c>
      <c r="AM361" s="199"/>
      <c r="AN361" s="16">
        <f t="shared" si="506"/>
        <v>30</v>
      </c>
      <c r="AO361" s="17">
        <f t="shared" si="503"/>
        <v>8</v>
      </c>
      <c r="AP361" s="18">
        <f t="shared" ca="1" si="486"/>
        <v>54848</v>
      </c>
      <c r="AQ361" s="10">
        <f>IF(Dashboard!$S$20="Float",AQ360+Dashboard!$T$20/12,AQ360)</f>
        <v>4.4999999999999998E-2</v>
      </c>
      <c r="AR361" s="14">
        <f t="shared" si="479"/>
        <v>344</v>
      </c>
      <c r="AS361" s="5">
        <f t="shared" si="480"/>
        <v>297837.86144133698</v>
      </c>
      <c r="AT361" s="5">
        <f t="shared" si="463"/>
        <v>-18117.071455543854</v>
      </c>
      <c r="AU361" s="5">
        <f t="shared" si="464"/>
        <v>-1116.8919804050136</v>
      </c>
      <c r="AV361" s="5">
        <f t="shared" si="481"/>
        <v>-17000.179475138841</v>
      </c>
      <c r="AW361" s="5">
        <f t="shared" si="482"/>
        <v>280837.68196619814</v>
      </c>
      <c r="AX361" s="199"/>
    </row>
    <row r="362" spans="1:50">
      <c r="A362" s="73"/>
      <c r="B362" s="572"/>
      <c r="C362" s="16">
        <f t="shared" si="504"/>
        <v>29</v>
      </c>
      <c r="D362" s="17">
        <f t="shared" si="500"/>
        <v>9</v>
      </c>
      <c r="E362" s="18">
        <f t="shared" ca="1" si="483"/>
        <v>54879</v>
      </c>
      <c r="F362" s="10">
        <f>IF(Dashboard!$Q$5="Float",F361+Dashboard!$R$5/12,F361)</f>
        <v>0.04</v>
      </c>
      <c r="G362" s="14">
        <f t="shared" si="465"/>
        <v>345</v>
      </c>
      <c r="H362" s="5">
        <f t="shared" si="466"/>
        <v>278492.90224331332</v>
      </c>
      <c r="I362" s="5">
        <f t="shared" si="453"/>
        <v>-17903.073579954715</v>
      </c>
      <c r="J362" s="5">
        <f t="shared" si="454"/>
        <v>-928.30967414437782</v>
      </c>
      <c r="K362" s="5">
        <f t="shared" si="467"/>
        <v>-16974.763905810338</v>
      </c>
      <c r="L362" s="5">
        <f t="shared" si="468"/>
        <v>261518.13833750298</v>
      </c>
      <c r="M362" s="199"/>
      <c r="N362" s="16">
        <f t="shared" ca="1" si="469"/>
        <v>17</v>
      </c>
      <c r="O362" s="508">
        <f t="shared" ca="1" si="455"/>
        <v>193</v>
      </c>
      <c r="P362" s="16">
        <f t="shared" ca="1" si="456"/>
        <v>17</v>
      </c>
      <c r="Q362" s="17">
        <f t="shared" si="501"/>
        <v>9</v>
      </c>
      <c r="R362" s="18">
        <f t="shared" si="484"/>
        <v>50284</v>
      </c>
      <c r="S362" s="10">
        <f t="shared" si="470"/>
        <v>0.04</v>
      </c>
      <c r="T362" s="14">
        <f t="shared" ca="1" si="471"/>
        <v>158</v>
      </c>
      <c r="U362" s="5">
        <f t="shared" ca="1" si="472"/>
        <v>351701.69572695054</v>
      </c>
      <c r="V362" s="5">
        <f t="shared" ca="1" si="457"/>
        <v>-2387.0764773272972</v>
      </c>
      <c r="W362" s="5">
        <f t="shared" ca="1" si="458"/>
        <v>-1172.3389857565019</v>
      </c>
      <c r="X362" s="5">
        <f t="shared" ca="1" si="473"/>
        <v>-1214.7374915707953</v>
      </c>
      <c r="Y362" s="5">
        <f t="shared" ca="1" si="474"/>
        <v>350486.95823537972</v>
      </c>
      <c r="Z362" s="199"/>
      <c r="AA362" s="16">
        <f t="shared" ca="1" si="462"/>
        <v>29</v>
      </c>
      <c r="AB362" s="508">
        <f t="shared" ca="1" si="459"/>
        <v>344</v>
      </c>
      <c r="AC362" s="16">
        <f t="shared" si="505"/>
        <v>29</v>
      </c>
      <c r="AD362" s="17">
        <f t="shared" si="502"/>
        <v>9</v>
      </c>
      <c r="AE362" s="18">
        <f t="shared" ca="1" si="485"/>
        <v>54879</v>
      </c>
      <c r="AF362" s="10">
        <f>IF(Dashboard!$R$24="Float",AF361+Dashboard!$R$24/12,AF361)</f>
        <v>0.06</v>
      </c>
      <c r="AG362" s="14">
        <f t="shared" si="475"/>
        <v>345</v>
      </c>
      <c r="AH362" s="5">
        <f t="shared" si="476"/>
        <v>0</v>
      </c>
      <c r="AI362" s="5">
        <f t="shared" si="460"/>
        <v>0</v>
      </c>
      <c r="AJ362" s="5">
        <f t="shared" si="461"/>
        <v>0</v>
      </c>
      <c r="AK362" s="5">
        <f t="shared" si="477"/>
        <v>0</v>
      </c>
      <c r="AL362" s="5">
        <f t="shared" si="478"/>
        <v>0</v>
      </c>
      <c r="AM362" s="199"/>
      <c r="AN362" s="16">
        <f t="shared" si="506"/>
        <v>30</v>
      </c>
      <c r="AO362" s="17">
        <f t="shared" si="503"/>
        <v>9</v>
      </c>
      <c r="AP362" s="18">
        <f t="shared" ca="1" si="486"/>
        <v>54879</v>
      </c>
      <c r="AQ362" s="10">
        <f>IF(Dashboard!$S$20="Float",AQ361+Dashboard!$T$20/12,AQ361)</f>
        <v>4.4999999999999998E-2</v>
      </c>
      <c r="AR362" s="14">
        <f t="shared" si="479"/>
        <v>345</v>
      </c>
      <c r="AS362" s="5">
        <f t="shared" si="480"/>
        <v>280837.68196619814</v>
      </c>
      <c r="AT362" s="5">
        <f t="shared" si="463"/>
        <v>-18117.071455543854</v>
      </c>
      <c r="AU362" s="5">
        <f t="shared" si="464"/>
        <v>-1053.1413073732431</v>
      </c>
      <c r="AV362" s="5">
        <f t="shared" si="481"/>
        <v>-17063.93014817061</v>
      </c>
      <c r="AW362" s="5">
        <f t="shared" si="482"/>
        <v>263773.75181802752</v>
      </c>
      <c r="AX362" s="199"/>
    </row>
    <row r="363" spans="1:50">
      <c r="A363" s="73"/>
      <c r="B363" s="572"/>
      <c r="C363" s="16">
        <f t="shared" si="504"/>
        <v>29</v>
      </c>
      <c r="D363" s="17">
        <f t="shared" si="500"/>
        <v>10</v>
      </c>
      <c r="E363" s="18">
        <f t="shared" ca="1" si="483"/>
        <v>54909</v>
      </c>
      <c r="F363" s="10">
        <f>IF(Dashboard!$Q$5="Float",F362+Dashboard!$R$5/12,F362)</f>
        <v>0.04</v>
      </c>
      <c r="G363" s="14">
        <f t="shared" si="465"/>
        <v>346</v>
      </c>
      <c r="H363" s="5">
        <f t="shared" si="466"/>
        <v>261518.13833750298</v>
      </c>
      <c r="I363" s="5">
        <f t="shared" si="453"/>
        <v>-17903.073579954711</v>
      </c>
      <c r="J363" s="5">
        <f t="shared" si="454"/>
        <v>-871.72712779167659</v>
      </c>
      <c r="K363" s="5">
        <f t="shared" si="467"/>
        <v>-17031.346452163034</v>
      </c>
      <c r="L363" s="5">
        <f t="shared" si="468"/>
        <v>244486.79188533995</v>
      </c>
      <c r="M363" s="199"/>
      <c r="N363" s="16">
        <f t="shared" ca="1" si="469"/>
        <v>17</v>
      </c>
      <c r="O363" s="508">
        <f t="shared" ca="1" si="455"/>
        <v>194</v>
      </c>
      <c r="P363" s="16">
        <f t="shared" ca="1" si="456"/>
        <v>17</v>
      </c>
      <c r="Q363" s="17">
        <f t="shared" si="501"/>
        <v>10</v>
      </c>
      <c r="R363" s="18">
        <f t="shared" si="484"/>
        <v>50314</v>
      </c>
      <c r="S363" s="10">
        <f t="shared" si="470"/>
        <v>0.04</v>
      </c>
      <c r="T363" s="14">
        <f t="shared" ca="1" si="471"/>
        <v>159</v>
      </c>
      <c r="U363" s="5">
        <f t="shared" ca="1" si="472"/>
        <v>350486.95823537972</v>
      </c>
      <c r="V363" s="5">
        <f t="shared" ca="1" si="457"/>
        <v>-2387.0764773272972</v>
      </c>
      <c r="W363" s="5">
        <f t="shared" ca="1" si="458"/>
        <v>-1168.2898607845991</v>
      </c>
      <c r="X363" s="5">
        <f t="shared" ca="1" si="473"/>
        <v>-1218.7866165426981</v>
      </c>
      <c r="Y363" s="5">
        <f t="shared" ca="1" si="474"/>
        <v>349268.17161883699</v>
      </c>
      <c r="Z363" s="199"/>
      <c r="AA363" s="16">
        <f t="shared" ca="1" si="462"/>
        <v>29</v>
      </c>
      <c r="AB363" s="508">
        <f t="shared" ca="1" si="459"/>
        <v>345</v>
      </c>
      <c r="AC363" s="16">
        <f t="shared" si="505"/>
        <v>29</v>
      </c>
      <c r="AD363" s="17">
        <f t="shared" si="502"/>
        <v>10</v>
      </c>
      <c r="AE363" s="18">
        <f t="shared" ca="1" si="485"/>
        <v>54909</v>
      </c>
      <c r="AF363" s="10">
        <f>IF(Dashboard!$R$24="Float",AF362+Dashboard!$R$24/12,AF362)</f>
        <v>0.06</v>
      </c>
      <c r="AG363" s="14">
        <f t="shared" si="475"/>
        <v>346</v>
      </c>
      <c r="AH363" s="5">
        <f t="shared" si="476"/>
        <v>0</v>
      </c>
      <c r="AI363" s="5">
        <f t="shared" si="460"/>
        <v>0</v>
      </c>
      <c r="AJ363" s="5">
        <f t="shared" si="461"/>
        <v>0</v>
      </c>
      <c r="AK363" s="5">
        <f t="shared" si="477"/>
        <v>0</v>
      </c>
      <c r="AL363" s="5">
        <f t="shared" si="478"/>
        <v>0</v>
      </c>
      <c r="AM363" s="199"/>
      <c r="AN363" s="16">
        <f t="shared" si="506"/>
        <v>30</v>
      </c>
      <c r="AO363" s="17">
        <f t="shared" si="503"/>
        <v>10</v>
      </c>
      <c r="AP363" s="18">
        <f t="shared" ca="1" si="486"/>
        <v>54909</v>
      </c>
      <c r="AQ363" s="10">
        <f>IF(Dashboard!$S$20="Float",AQ362+Dashboard!$T$20/12,AQ362)</f>
        <v>4.4999999999999998E-2</v>
      </c>
      <c r="AR363" s="14">
        <f t="shared" si="479"/>
        <v>346</v>
      </c>
      <c r="AS363" s="5">
        <f t="shared" si="480"/>
        <v>263773.75181802752</v>
      </c>
      <c r="AT363" s="5">
        <f t="shared" si="463"/>
        <v>-18117.071455543854</v>
      </c>
      <c r="AU363" s="5">
        <f t="shared" si="464"/>
        <v>-989.15156931760328</v>
      </c>
      <c r="AV363" s="5">
        <f t="shared" si="481"/>
        <v>-17127.919886226249</v>
      </c>
      <c r="AW363" s="5">
        <f t="shared" si="482"/>
        <v>246645.83193180128</v>
      </c>
      <c r="AX363" s="199"/>
    </row>
    <row r="364" spans="1:50">
      <c r="A364" s="73"/>
      <c r="B364" s="572"/>
      <c r="C364" s="16">
        <f t="shared" si="504"/>
        <v>29</v>
      </c>
      <c r="D364" s="17">
        <f t="shared" si="500"/>
        <v>11</v>
      </c>
      <c r="E364" s="18">
        <f t="shared" ca="1" si="483"/>
        <v>54940</v>
      </c>
      <c r="F364" s="10">
        <f>IF(Dashboard!$Q$5="Float",F363+Dashboard!$R$5/12,F363)</f>
        <v>0.04</v>
      </c>
      <c r="G364" s="14">
        <f t="shared" si="465"/>
        <v>347</v>
      </c>
      <c r="H364" s="5">
        <f t="shared" si="466"/>
        <v>244486.79188533995</v>
      </c>
      <c r="I364" s="5">
        <f t="shared" si="453"/>
        <v>-17903.073579954715</v>
      </c>
      <c r="J364" s="5">
        <f t="shared" si="454"/>
        <v>-814.95597295113328</v>
      </c>
      <c r="K364" s="5">
        <f t="shared" si="467"/>
        <v>-17088.11760700358</v>
      </c>
      <c r="L364" s="5">
        <f t="shared" si="468"/>
        <v>227398.67427833637</v>
      </c>
      <c r="M364" s="199"/>
      <c r="N364" s="16">
        <f t="shared" ca="1" si="469"/>
        <v>17</v>
      </c>
      <c r="O364" s="508">
        <f t="shared" ca="1" si="455"/>
        <v>195</v>
      </c>
      <c r="P364" s="16">
        <f t="shared" ca="1" si="456"/>
        <v>17</v>
      </c>
      <c r="Q364" s="17">
        <f t="shared" si="501"/>
        <v>11</v>
      </c>
      <c r="R364" s="18">
        <f t="shared" si="484"/>
        <v>50345</v>
      </c>
      <c r="S364" s="10">
        <f t="shared" si="470"/>
        <v>0.04</v>
      </c>
      <c r="T364" s="14">
        <f t="shared" ca="1" si="471"/>
        <v>160</v>
      </c>
      <c r="U364" s="5">
        <f t="shared" ca="1" si="472"/>
        <v>349268.17161883699</v>
      </c>
      <c r="V364" s="5">
        <f t="shared" ca="1" si="457"/>
        <v>-2387.0764773272967</v>
      </c>
      <c r="W364" s="5">
        <f t="shared" ca="1" si="458"/>
        <v>-1164.2272387294568</v>
      </c>
      <c r="X364" s="5">
        <f t="shared" ca="1" si="473"/>
        <v>-1222.84923859784</v>
      </c>
      <c r="Y364" s="5">
        <f t="shared" ca="1" si="474"/>
        <v>348045.32238023914</v>
      </c>
      <c r="Z364" s="199"/>
      <c r="AA364" s="16">
        <f t="shared" ca="1" si="462"/>
        <v>29</v>
      </c>
      <c r="AB364" s="508">
        <f t="shared" ca="1" si="459"/>
        <v>346</v>
      </c>
      <c r="AC364" s="16">
        <f t="shared" si="505"/>
        <v>29</v>
      </c>
      <c r="AD364" s="17">
        <f t="shared" si="502"/>
        <v>11</v>
      </c>
      <c r="AE364" s="18">
        <f t="shared" ca="1" si="485"/>
        <v>54940</v>
      </c>
      <c r="AF364" s="10">
        <f>IF(Dashboard!$R$24="Float",AF363+Dashboard!$R$24/12,AF363)</f>
        <v>0.06</v>
      </c>
      <c r="AG364" s="14">
        <f t="shared" si="475"/>
        <v>347</v>
      </c>
      <c r="AH364" s="5">
        <f t="shared" si="476"/>
        <v>0</v>
      </c>
      <c r="AI364" s="5">
        <f t="shared" si="460"/>
        <v>0</v>
      </c>
      <c r="AJ364" s="5">
        <f t="shared" si="461"/>
        <v>0</v>
      </c>
      <c r="AK364" s="5">
        <f t="shared" si="477"/>
        <v>0</v>
      </c>
      <c r="AL364" s="5">
        <f t="shared" si="478"/>
        <v>0</v>
      </c>
      <c r="AM364" s="199"/>
      <c r="AN364" s="16">
        <f t="shared" si="506"/>
        <v>30</v>
      </c>
      <c r="AO364" s="17">
        <f t="shared" si="503"/>
        <v>11</v>
      </c>
      <c r="AP364" s="18">
        <f t="shared" ca="1" si="486"/>
        <v>54940</v>
      </c>
      <c r="AQ364" s="10">
        <f>IF(Dashboard!$S$20="Float",AQ363+Dashboard!$T$20/12,AQ363)</f>
        <v>4.4999999999999998E-2</v>
      </c>
      <c r="AR364" s="14">
        <f t="shared" si="479"/>
        <v>347</v>
      </c>
      <c r="AS364" s="5">
        <f t="shared" si="480"/>
        <v>246645.83193180128</v>
      </c>
      <c r="AT364" s="5">
        <f t="shared" si="463"/>
        <v>-18117.071455543854</v>
      </c>
      <c r="AU364" s="5">
        <f t="shared" si="464"/>
        <v>-924.92186974425476</v>
      </c>
      <c r="AV364" s="5">
        <f t="shared" si="481"/>
        <v>-17192.149585799598</v>
      </c>
      <c r="AW364" s="5">
        <f t="shared" si="482"/>
        <v>229453.68234600167</v>
      </c>
      <c r="AX364" s="199"/>
    </row>
    <row r="365" spans="1:50">
      <c r="A365" s="73"/>
      <c r="B365" s="572"/>
      <c r="C365" s="16">
        <f t="shared" si="504"/>
        <v>29</v>
      </c>
      <c r="D365" s="17">
        <f t="shared" si="500"/>
        <v>12</v>
      </c>
      <c r="E365" s="18">
        <f t="shared" ca="1" si="483"/>
        <v>54970</v>
      </c>
      <c r="F365" s="10">
        <f>IF(Dashboard!$Q$5="Float",F364+Dashboard!$R$5/12,F364)</f>
        <v>0.04</v>
      </c>
      <c r="G365" s="14">
        <f t="shared" si="465"/>
        <v>348</v>
      </c>
      <c r="H365" s="5">
        <f t="shared" si="466"/>
        <v>227398.67427833637</v>
      </c>
      <c r="I365" s="5">
        <f t="shared" si="453"/>
        <v>-17903.073579954711</v>
      </c>
      <c r="J365" s="5">
        <f t="shared" si="454"/>
        <v>-757.99558092778796</v>
      </c>
      <c r="K365" s="5">
        <f t="shared" si="467"/>
        <v>-17145.077999026922</v>
      </c>
      <c r="L365" s="5">
        <f t="shared" si="468"/>
        <v>210253.59627930945</v>
      </c>
      <c r="M365" s="199"/>
      <c r="N365" s="16">
        <f t="shared" ca="1" si="469"/>
        <v>17</v>
      </c>
      <c r="O365" s="508">
        <f t="shared" ca="1" si="455"/>
        <v>196</v>
      </c>
      <c r="P365" s="16">
        <f t="shared" ca="1" si="456"/>
        <v>17</v>
      </c>
      <c r="Q365" s="17">
        <f t="shared" si="501"/>
        <v>12</v>
      </c>
      <c r="R365" s="18">
        <f t="shared" si="484"/>
        <v>50375</v>
      </c>
      <c r="S365" s="10">
        <f t="shared" si="470"/>
        <v>0.04</v>
      </c>
      <c r="T365" s="14">
        <f t="shared" ca="1" si="471"/>
        <v>161</v>
      </c>
      <c r="U365" s="5">
        <f t="shared" ca="1" si="472"/>
        <v>348045.32238023914</v>
      </c>
      <c r="V365" s="5">
        <f t="shared" ca="1" si="457"/>
        <v>-2387.0764773272972</v>
      </c>
      <c r="W365" s="5">
        <f t="shared" ca="1" si="458"/>
        <v>-1160.1510746007973</v>
      </c>
      <c r="X365" s="5">
        <f t="shared" ca="1" si="473"/>
        <v>-1226.9254027264999</v>
      </c>
      <c r="Y365" s="5">
        <f t="shared" ca="1" si="474"/>
        <v>346818.39697751263</v>
      </c>
      <c r="Z365" s="199"/>
      <c r="AA365" s="16">
        <f t="shared" ca="1" si="462"/>
        <v>29</v>
      </c>
      <c r="AB365" s="508">
        <f t="shared" ca="1" si="459"/>
        <v>347</v>
      </c>
      <c r="AC365" s="16">
        <f t="shared" si="505"/>
        <v>29</v>
      </c>
      <c r="AD365" s="17">
        <f t="shared" si="502"/>
        <v>12</v>
      </c>
      <c r="AE365" s="18">
        <f t="shared" ca="1" si="485"/>
        <v>54970</v>
      </c>
      <c r="AF365" s="10">
        <f>IF(Dashboard!$R$24="Float",AF364+Dashboard!$R$24/12,AF364)</f>
        <v>0.06</v>
      </c>
      <c r="AG365" s="14">
        <f t="shared" si="475"/>
        <v>348</v>
      </c>
      <c r="AH365" s="5">
        <f t="shared" si="476"/>
        <v>0</v>
      </c>
      <c r="AI365" s="5">
        <f t="shared" si="460"/>
        <v>0</v>
      </c>
      <c r="AJ365" s="5">
        <f t="shared" si="461"/>
        <v>0</v>
      </c>
      <c r="AK365" s="5">
        <f t="shared" si="477"/>
        <v>0</v>
      </c>
      <c r="AL365" s="5">
        <f t="shared" si="478"/>
        <v>0</v>
      </c>
      <c r="AM365" s="199"/>
      <c r="AN365" s="16">
        <f t="shared" si="506"/>
        <v>30</v>
      </c>
      <c r="AO365" s="17">
        <f t="shared" si="503"/>
        <v>12</v>
      </c>
      <c r="AP365" s="18">
        <f t="shared" ca="1" si="486"/>
        <v>54970</v>
      </c>
      <c r="AQ365" s="10">
        <f>IF(Dashboard!$S$20="Float",AQ364+Dashboard!$T$20/12,AQ364)</f>
        <v>4.4999999999999998E-2</v>
      </c>
      <c r="AR365" s="14">
        <f t="shared" si="479"/>
        <v>348</v>
      </c>
      <c r="AS365" s="5">
        <f t="shared" si="480"/>
        <v>229453.68234600167</v>
      </c>
      <c r="AT365" s="5">
        <f t="shared" si="463"/>
        <v>-18117.07145554385</v>
      </c>
      <c r="AU365" s="5">
        <f t="shared" si="464"/>
        <v>-860.45130879750616</v>
      </c>
      <c r="AV365" s="5">
        <f t="shared" si="481"/>
        <v>-17256.620146746343</v>
      </c>
      <c r="AW365" s="5">
        <f t="shared" si="482"/>
        <v>212197.06219925534</v>
      </c>
      <c r="AX365" s="199"/>
    </row>
    <row r="366" spans="1:50" ht="12.75" customHeight="1">
      <c r="A366" s="73"/>
      <c r="B366" s="570">
        <f>+C366</f>
        <v>30</v>
      </c>
      <c r="C366" s="200">
        <f t="shared" ref="C366" si="507">+C365+1</f>
        <v>30</v>
      </c>
      <c r="D366" s="201">
        <v>1</v>
      </c>
      <c r="E366" s="202">
        <f t="shared" ca="1" si="483"/>
        <v>55001</v>
      </c>
      <c r="F366" s="203">
        <f>IF(Dashboard!$Q$5="Float",F365+Dashboard!$R$5/12,F365)</f>
        <v>0.04</v>
      </c>
      <c r="G366" s="204">
        <f t="shared" si="465"/>
        <v>349</v>
      </c>
      <c r="H366" s="205">
        <f t="shared" si="466"/>
        <v>210253.59627930945</v>
      </c>
      <c r="I366" s="205">
        <f t="shared" si="453"/>
        <v>-17903.073579954715</v>
      </c>
      <c r="J366" s="205">
        <f t="shared" si="454"/>
        <v>-700.84532093103155</v>
      </c>
      <c r="K366" s="205">
        <f t="shared" si="467"/>
        <v>-17202.228259023683</v>
      </c>
      <c r="L366" s="205">
        <f t="shared" si="468"/>
        <v>193051.36802028576</v>
      </c>
      <c r="M366" s="199"/>
      <c r="N366" s="200">
        <f t="shared" ca="1" si="469"/>
        <v>17</v>
      </c>
      <c r="O366" s="509">
        <f t="shared" ca="1" si="455"/>
        <v>197</v>
      </c>
      <c r="P366" s="200">
        <f t="shared" ca="1" si="456"/>
        <v>17</v>
      </c>
      <c r="Q366" s="201">
        <v>1</v>
      </c>
      <c r="R366" s="202">
        <f t="shared" si="484"/>
        <v>50406</v>
      </c>
      <c r="S366" s="203">
        <f t="shared" si="470"/>
        <v>0.04</v>
      </c>
      <c r="T366" s="204">
        <f t="shared" ca="1" si="471"/>
        <v>162</v>
      </c>
      <c r="U366" s="205">
        <f t="shared" ca="1" si="472"/>
        <v>346818.39697751263</v>
      </c>
      <c r="V366" s="205">
        <f t="shared" ca="1" si="457"/>
        <v>-2387.0764773272967</v>
      </c>
      <c r="W366" s="205">
        <f t="shared" ca="1" si="458"/>
        <v>-1156.0613232583755</v>
      </c>
      <c r="X366" s="205">
        <f t="shared" ca="1" si="473"/>
        <v>-1231.0151540689212</v>
      </c>
      <c r="Y366" s="205">
        <f t="shared" ca="1" si="474"/>
        <v>345587.38182344369</v>
      </c>
      <c r="Z366" s="199"/>
      <c r="AA366" s="200">
        <f t="shared" ca="1" si="462"/>
        <v>29</v>
      </c>
      <c r="AB366" s="509">
        <f t="shared" ca="1" si="459"/>
        <v>348</v>
      </c>
      <c r="AC366" s="200">
        <f t="shared" ref="AC366" si="508">+AC365+1</f>
        <v>30</v>
      </c>
      <c r="AD366" s="201">
        <v>1</v>
      </c>
      <c r="AE366" s="202">
        <f t="shared" ca="1" si="485"/>
        <v>55001</v>
      </c>
      <c r="AF366" s="203">
        <f>IF(Dashboard!$R$24="Float",AF365+Dashboard!$R$24/12,AF365)</f>
        <v>0.06</v>
      </c>
      <c r="AG366" s="204">
        <f t="shared" si="475"/>
        <v>349</v>
      </c>
      <c r="AH366" s="205">
        <f t="shared" si="476"/>
        <v>0</v>
      </c>
      <c r="AI366" s="205">
        <f t="shared" si="460"/>
        <v>0</v>
      </c>
      <c r="AJ366" s="205">
        <f t="shared" si="461"/>
        <v>0</v>
      </c>
      <c r="AK366" s="205">
        <f t="shared" si="477"/>
        <v>0</v>
      </c>
      <c r="AL366" s="205">
        <f t="shared" si="478"/>
        <v>0</v>
      </c>
      <c r="AM366" s="199"/>
      <c r="AN366" s="200">
        <f t="shared" ref="AN366" si="509">+AN365+1</f>
        <v>31</v>
      </c>
      <c r="AO366" s="201">
        <v>1</v>
      </c>
      <c r="AP366" s="202">
        <f t="shared" ca="1" si="486"/>
        <v>55001</v>
      </c>
      <c r="AQ366" s="203">
        <f>IF(Dashboard!$S$20="Float",AQ365+Dashboard!$T$20/12,AQ365)</f>
        <v>4.4999999999999998E-2</v>
      </c>
      <c r="AR366" s="204">
        <f t="shared" si="479"/>
        <v>349</v>
      </c>
      <c r="AS366" s="205">
        <f t="shared" si="480"/>
        <v>212197.06219925534</v>
      </c>
      <c r="AT366" s="205">
        <f t="shared" si="463"/>
        <v>-18117.071455543854</v>
      </c>
      <c r="AU366" s="205">
        <f t="shared" si="464"/>
        <v>-795.73898324720756</v>
      </c>
      <c r="AV366" s="205">
        <f t="shared" si="481"/>
        <v>-17321.332472296646</v>
      </c>
      <c r="AW366" s="205">
        <f t="shared" si="482"/>
        <v>194875.7297269587</v>
      </c>
      <c r="AX366" s="199"/>
    </row>
    <row r="367" spans="1:50">
      <c r="A367" s="73"/>
      <c r="B367" s="570"/>
      <c r="C367" s="200">
        <f>+C366</f>
        <v>30</v>
      </c>
      <c r="D367" s="201">
        <f>+D366+1</f>
        <v>2</v>
      </c>
      <c r="E367" s="202">
        <f t="shared" ca="1" si="483"/>
        <v>55032</v>
      </c>
      <c r="F367" s="203">
        <f>IF(Dashboard!$Q$5="Float",F366+Dashboard!$R$5/12,F366)</f>
        <v>0.04</v>
      </c>
      <c r="G367" s="204">
        <f t="shared" si="465"/>
        <v>350</v>
      </c>
      <c r="H367" s="205">
        <f t="shared" si="466"/>
        <v>193051.36802028576</v>
      </c>
      <c r="I367" s="205">
        <f t="shared" si="453"/>
        <v>-17903.073579954711</v>
      </c>
      <c r="J367" s="205">
        <f t="shared" si="454"/>
        <v>-643.5045600676192</v>
      </c>
      <c r="K367" s="205">
        <f t="shared" si="467"/>
        <v>-17259.569019887091</v>
      </c>
      <c r="L367" s="205">
        <f t="shared" si="468"/>
        <v>175791.79900039866</v>
      </c>
      <c r="M367" s="199"/>
      <c r="N367" s="200">
        <f t="shared" ca="1" si="469"/>
        <v>17</v>
      </c>
      <c r="O367" s="509">
        <f t="shared" ca="1" si="455"/>
        <v>198</v>
      </c>
      <c r="P367" s="200">
        <f t="shared" ca="1" si="456"/>
        <v>17</v>
      </c>
      <c r="Q367" s="201">
        <f>+Q366+1</f>
        <v>2</v>
      </c>
      <c r="R367" s="202">
        <f t="shared" si="484"/>
        <v>50437</v>
      </c>
      <c r="S367" s="203">
        <f t="shared" si="470"/>
        <v>0.04</v>
      </c>
      <c r="T367" s="204">
        <f t="shared" ca="1" si="471"/>
        <v>163</v>
      </c>
      <c r="U367" s="205">
        <f t="shared" ca="1" si="472"/>
        <v>345587.38182344369</v>
      </c>
      <c r="V367" s="205">
        <f t="shared" ca="1" si="457"/>
        <v>-2387.0764773272967</v>
      </c>
      <c r="W367" s="205">
        <f t="shared" ca="1" si="458"/>
        <v>-1151.9579394114789</v>
      </c>
      <c r="X367" s="205">
        <f t="shared" ca="1" si="473"/>
        <v>-1235.1185379158178</v>
      </c>
      <c r="Y367" s="205">
        <f t="shared" ca="1" si="474"/>
        <v>344352.26328552788</v>
      </c>
      <c r="Z367" s="199"/>
      <c r="AA367" s="200">
        <f t="shared" ca="1" si="462"/>
        <v>30</v>
      </c>
      <c r="AB367" s="509">
        <f t="shared" ca="1" si="459"/>
        <v>349</v>
      </c>
      <c r="AC367" s="200">
        <f>+AC366</f>
        <v>30</v>
      </c>
      <c r="AD367" s="201">
        <f>+AD366+1</f>
        <v>2</v>
      </c>
      <c r="AE367" s="202">
        <f t="shared" ca="1" si="485"/>
        <v>55032</v>
      </c>
      <c r="AF367" s="203">
        <f>IF(Dashboard!$R$24="Float",AF366+Dashboard!$R$24/12,AF366)</f>
        <v>0.06</v>
      </c>
      <c r="AG367" s="204">
        <f t="shared" si="475"/>
        <v>350</v>
      </c>
      <c r="AH367" s="205">
        <f t="shared" si="476"/>
        <v>0</v>
      </c>
      <c r="AI367" s="205">
        <f t="shared" si="460"/>
        <v>0</v>
      </c>
      <c r="AJ367" s="205">
        <f t="shared" si="461"/>
        <v>0</v>
      </c>
      <c r="AK367" s="205">
        <f t="shared" si="477"/>
        <v>0</v>
      </c>
      <c r="AL367" s="205">
        <f t="shared" si="478"/>
        <v>0</v>
      </c>
      <c r="AM367" s="199"/>
      <c r="AN367" s="200">
        <f>+AN366</f>
        <v>31</v>
      </c>
      <c r="AO367" s="201">
        <f>+AO366+1</f>
        <v>2</v>
      </c>
      <c r="AP367" s="202">
        <f t="shared" ca="1" si="486"/>
        <v>55032</v>
      </c>
      <c r="AQ367" s="203">
        <f>IF(Dashboard!$S$20="Float",AQ366+Dashboard!$T$20/12,AQ366)</f>
        <v>4.4999999999999998E-2</v>
      </c>
      <c r="AR367" s="204">
        <f t="shared" si="479"/>
        <v>350</v>
      </c>
      <c r="AS367" s="205">
        <f t="shared" si="480"/>
        <v>194875.7297269587</v>
      </c>
      <c r="AT367" s="205">
        <f t="shared" si="463"/>
        <v>-18117.071455543857</v>
      </c>
      <c r="AU367" s="205">
        <f t="shared" si="464"/>
        <v>-730.78398647609504</v>
      </c>
      <c r="AV367" s="205">
        <f t="shared" si="481"/>
        <v>-17386.287469067764</v>
      </c>
      <c r="AW367" s="205">
        <f t="shared" si="482"/>
        <v>177489.44225789094</v>
      </c>
      <c r="AX367" s="199"/>
    </row>
    <row r="368" spans="1:50">
      <c r="A368" s="73"/>
      <c r="B368" s="570"/>
      <c r="C368" s="200">
        <f>+C367</f>
        <v>30</v>
      </c>
      <c r="D368" s="201">
        <f>+D367+1</f>
        <v>3</v>
      </c>
      <c r="E368" s="202">
        <f t="shared" ca="1" si="483"/>
        <v>55062</v>
      </c>
      <c r="F368" s="203">
        <f>IF(Dashboard!$Q$5="Float",F367+Dashboard!$R$5/12,F367)</f>
        <v>0.04</v>
      </c>
      <c r="G368" s="204">
        <f t="shared" si="465"/>
        <v>351</v>
      </c>
      <c r="H368" s="205">
        <f t="shared" si="466"/>
        <v>175791.79900039866</v>
      </c>
      <c r="I368" s="205">
        <f t="shared" si="453"/>
        <v>-17903.073579954715</v>
      </c>
      <c r="J368" s="205">
        <f t="shared" si="454"/>
        <v>-585.97266333466223</v>
      </c>
      <c r="K368" s="205">
        <f t="shared" si="467"/>
        <v>-17317.100916620053</v>
      </c>
      <c r="L368" s="205">
        <f t="shared" si="468"/>
        <v>158474.69808377861</v>
      </c>
      <c r="M368" s="199"/>
      <c r="N368" s="200">
        <f t="shared" ca="1" si="469"/>
        <v>17</v>
      </c>
      <c r="O368" s="509">
        <f t="shared" ca="1" si="455"/>
        <v>199</v>
      </c>
      <c r="P368" s="200">
        <f t="shared" ca="1" si="456"/>
        <v>17</v>
      </c>
      <c r="Q368" s="201">
        <f>+Q367+1</f>
        <v>3</v>
      </c>
      <c r="R368" s="202">
        <f t="shared" si="484"/>
        <v>50465</v>
      </c>
      <c r="S368" s="203">
        <f t="shared" si="470"/>
        <v>0.04</v>
      </c>
      <c r="T368" s="204">
        <f t="shared" ca="1" si="471"/>
        <v>164</v>
      </c>
      <c r="U368" s="205">
        <f t="shared" ca="1" si="472"/>
        <v>344352.26328552788</v>
      </c>
      <c r="V368" s="205">
        <f t="shared" ca="1" si="457"/>
        <v>-2387.0764773272967</v>
      </c>
      <c r="W368" s="205">
        <f t="shared" ca="1" si="458"/>
        <v>-1147.8408776184262</v>
      </c>
      <c r="X368" s="205">
        <f t="shared" ca="1" si="473"/>
        <v>-1239.2355997088705</v>
      </c>
      <c r="Y368" s="205">
        <f t="shared" ca="1" si="474"/>
        <v>343113.02768581902</v>
      </c>
      <c r="Z368" s="199"/>
      <c r="AA368" s="200">
        <f t="shared" ca="1" si="462"/>
        <v>30</v>
      </c>
      <c r="AB368" s="509">
        <f t="shared" ca="1" si="459"/>
        <v>350</v>
      </c>
      <c r="AC368" s="200">
        <f>+AC367</f>
        <v>30</v>
      </c>
      <c r="AD368" s="201">
        <f>+AD367+1</f>
        <v>3</v>
      </c>
      <c r="AE368" s="202">
        <f t="shared" ca="1" si="485"/>
        <v>55062</v>
      </c>
      <c r="AF368" s="203">
        <f>IF(Dashboard!$R$24="Float",AF367+Dashboard!$R$24/12,AF367)</f>
        <v>0.06</v>
      </c>
      <c r="AG368" s="204">
        <f t="shared" si="475"/>
        <v>351</v>
      </c>
      <c r="AH368" s="205">
        <f t="shared" si="476"/>
        <v>0</v>
      </c>
      <c r="AI368" s="205">
        <f t="shared" si="460"/>
        <v>0</v>
      </c>
      <c r="AJ368" s="205">
        <f t="shared" si="461"/>
        <v>0</v>
      </c>
      <c r="AK368" s="205">
        <f t="shared" si="477"/>
        <v>0</v>
      </c>
      <c r="AL368" s="205">
        <f t="shared" si="478"/>
        <v>0</v>
      </c>
      <c r="AM368" s="199"/>
      <c r="AN368" s="200">
        <f>+AN367</f>
        <v>31</v>
      </c>
      <c r="AO368" s="201">
        <f>+AO367+1</f>
        <v>3</v>
      </c>
      <c r="AP368" s="202">
        <f t="shared" ca="1" si="486"/>
        <v>55062</v>
      </c>
      <c r="AQ368" s="203">
        <f>IF(Dashboard!$S$20="Float",AQ367+Dashboard!$T$20/12,AQ367)</f>
        <v>4.4999999999999998E-2</v>
      </c>
      <c r="AR368" s="204">
        <f t="shared" si="479"/>
        <v>351</v>
      </c>
      <c r="AS368" s="205">
        <f t="shared" si="480"/>
        <v>177489.44225789094</v>
      </c>
      <c r="AT368" s="205">
        <f t="shared" si="463"/>
        <v>-18117.071455543854</v>
      </c>
      <c r="AU368" s="205">
        <f t="shared" si="464"/>
        <v>-665.58540846709104</v>
      </c>
      <c r="AV368" s="205">
        <f t="shared" si="481"/>
        <v>-17451.486047076763</v>
      </c>
      <c r="AW368" s="205">
        <f t="shared" si="482"/>
        <v>160037.95621081418</v>
      </c>
      <c r="AX368" s="199"/>
    </row>
    <row r="369" spans="1:50">
      <c r="A369" s="73"/>
      <c r="B369" s="570"/>
      <c r="C369" s="200">
        <f>+C368</f>
        <v>30</v>
      </c>
      <c r="D369" s="201">
        <f t="shared" ref="D369:D377" si="510">+D368+1</f>
        <v>4</v>
      </c>
      <c r="E369" s="202">
        <f t="shared" ca="1" si="483"/>
        <v>55093</v>
      </c>
      <c r="F369" s="203">
        <f>IF(Dashboard!$Q$5="Float",F368+Dashboard!$R$5/12,F368)</f>
        <v>0.04</v>
      </c>
      <c r="G369" s="204">
        <f t="shared" si="465"/>
        <v>352</v>
      </c>
      <c r="H369" s="205">
        <f t="shared" si="466"/>
        <v>158474.69808377861</v>
      </c>
      <c r="I369" s="205">
        <f t="shared" si="453"/>
        <v>-17903.073579954715</v>
      </c>
      <c r="J369" s="205">
        <f t="shared" si="454"/>
        <v>-528.24899361259543</v>
      </c>
      <c r="K369" s="205">
        <f t="shared" si="467"/>
        <v>-17374.824586342118</v>
      </c>
      <c r="L369" s="205">
        <f t="shared" si="468"/>
        <v>141099.87349743649</v>
      </c>
      <c r="M369" s="199"/>
      <c r="N369" s="200">
        <f t="shared" ca="1" si="469"/>
        <v>17</v>
      </c>
      <c r="O369" s="509">
        <f t="shared" ca="1" si="455"/>
        <v>200</v>
      </c>
      <c r="P369" s="200">
        <f t="shared" ca="1" si="456"/>
        <v>17</v>
      </c>
      <c r="Q369" s="201">
        <f t="shared" ref="Q369:Q377" si="511">+Q368+1</f>
        <v>4</v>
      </c>
      <c r="R369" s="202">
        <f t="shared" si="484"/>
        <v>50496</v>
      </c>
      <c r="S369" s="203">
        <f t="shared" si="470"/>
        <v>0.04</v>
      </c>
      <c r="T369" s="204">
        <f t="shared" ca="1" si="471"/>
        <v>165</v>
      </c>
      <c r="U369" s="205">
        <f t="shared" ca="1" si="472"/>
        <v>343113.02768581902</v>
      </c>
      <c r="V369" s="205">
        <f t="shared" ca="1" si="457"/>
        <v>-2387.0764773272967</v>
      </c>
      <c r="W369" s="205">
        <f t="shared" ca="1" si="458"/>
        <v>-1143.7100922860634</v>
      </c>
      <c r="X369" s="205">
        <f t="shared" ca="1" si="473"/>
        <v>-1243.3663850412333</v>
      </c>
      <c r="Y369" s="205">
        <f t="shared" ca="1" si="474"/>
        <v>341869.66130077781</v>
      </c>
      <c r="Z369" s="199"/>
      <c r="AA369" s="200">
        <f t="shared" ca="1" si="462"/>
        <v>30</v>
      </c>
      <c r="AB369" s="509">
        <f t="shared" ca="1" si="459"/>
        <v>351</v>
      </c>
      <c r="AC369" s="200">
        <f>+AC368</f>
        <v>30</v>
      </c>
      <c r="AD369" s="201">
        <f t="shared" ref="AD369:AD377" si="512">+AD368+1</f>
        <v>4</v>
      </c>
      <c r="AE369" s="202">
        <f t="shared" ca="1" si="485"/>
        <v>55093</v>
      </c>
      <c r="AF369" s="203">
        <f>IF(Dashboard!$R$24="Float",AF368+Dashboard!$R$24/12,AF368)</f>
        <v>0.06</v>
      </c>
      <c r="AG369" s="204">
        <f t="shared" si="475"/>
        <v>352</v>
      </c>
      <c r="AH369" s="205">
        <f t="shared" si="476"/>
        <v>0</v>
      </c>
      <c r="AI369" s="205">
        <f t="shared" si="460"/>
        <v>0</v>
      </c>
      <c r="AJ369" s="205">
        <f t="shared" si="461"/>
        <v>0</v>
      </c>
      <c r="AK369" s="205">
        <f t="shared" si="477"/>
        <v>0</v>
      </c>
      <c r="AL369" s="205">
        <f t="shared" si="478"/>
        <v>0</v>
      </c>
      <c r="AM369" s="199"/>
      <c r="AN369" s="200">
        <f>+AN368</f>
        <v>31</v>
      </c>
      <c r="AO369" s="201">
        <f t="shared" ref="AO369:AO377" si="513">+AO368+1</f>
        <v>4</v>
      </c>
      <c r="AP369" s="202">
        <f t="shared" ca="1" si="486"/>
        <v>55093</v>
      </c>
      <c r="AQ369" s="203">
        <f>IF(Dashboard!$S$20="Float",AQ368+Dashboard!$T$20/12,AQ368)</f>
        <v>4.4999999999999998E-2</v>
      </c>
      <c r="AR369" s="204">
        <f t="shared" si="479"/>
        <v>352</v>
      </c>
      <c r="AS369" s="205">
        <f t="shared" si="480"/>
        <v>160037.95621081418</v>
      </c>
      <c r="AT369" s="205">
        <f t="shared" si="463"/>
        <v>-18117.071455543861</v>
      </c>
      <c r="AU369" s="205">
        <f t="shared" si="464"/>
        <v>-600.14233579055315</v>
      </c>
      <c r="AV369" s="205">
        <f t="shared" si="481"/>
        <v>-17516.929119753309</v>
      </c>
      <c r="AW369" s="205">
        <f t="shared" si="482"/>
        <v>142521.02709106088</v>
      </c>
      <c r="AX369" s="199"/>
    </row>
    <row r="370" spans="1:50">
      <c r="A370" s="73"/>
      <c r="B370" s="570"/>
      <c r="C370" s="200">
        <f t="shared" ref="C370:C377" si="514">+C369</f>
        <v>30</v>
      </c>
      <c r="D370" s="201">
        <f t="shared" si="510"/>
        <v>5</v>
      </c>
      <c r="E370" s="202">
        <f t="shared" ca="1" si="483"/>
        <v>55123</v>
      </c>
      <c r="F370" s="203">
        <f>IF(Dashboard!$Q$5="Float",F369+Dashboard!$R$5/12,F369)</f>
        <v>0.04</v>
      </c>
      <c r="G370" s="204">
        <f t="shared" si="465"/>
        <v>353</v>
      </c>
      <c r="H370" s="205">
        <f t="shared" si="466"/>
        <v>141099.87349743649</v>
      </c>
      <c r="I370" s="205">
        <f t="shared" si="453"/>
        <v>-17903.073579954711</v>
      </c>
      <c r="J370" s="205">
        <f t="shared" si="454"/>
        <v>-470.33291165812165</v>
      </c>
      <c r="K370" s="205">
        <f t="shared" si="467"/>
        <v>-17432.740668296588</v>
      </c>
      <c r="L370" s="205">
        <f t="shared" si="468"/>
        <v>123667.13282913991</v>
      </c>
      <c r="M370" s="199"/>
      <c r="N370" s="200">
        <f t="shared" ca="1" si="469"/>
        <v>17</v>
      </c>
      <c r="O370" s="509">
        <f t="shared" ca="1" si="455"/>
        <v>201</v>
      </c>
      <c r="P370" s="200">
        <f t="shared" ca="1" si="456"/>
        <v>17</v>
      </c>
      <c r="Q370" s="201">
        <f t="shared" si="511"/>
        <v>5</v>
      </c>
      <c r="R370" s="202">
        <f t="shared" si="484"/>
        <v>50526</v>
      </c>
      <c r="S370" s="203">
        <f t="shared" si="470"/>
        <v>0.04</v>
      </c>
      <c r="T370" s="204">
        <f t="shared" ca="1" si="471"/>
        <v>166</v>
      </c>
      <c r="U370" s="205">
        <f t="shared" ca="1" si="472"/>
        <v>341869.66130077781</v>
      </c>
      <c r="V370" s="205">
        <f t="shared" ca="1" si="457"/>
        <v>-2387.0764773272967</v>
      </c>
      <c r="W370" s="205">
        <f t="shared" ca="1" si="458"/>
        <v>-1139.5655376692594</v>
      </c>
      <c r="X370" s="205">
        <f t="shared" ca="1" si="473"/>
        <v>-1247.5109396580374</v>
      </c>
      <c r="Y370" s="205">
        <f t="shared" ca="1" si="474"/>
        <v>340622.15036111977</v>
      </c>
      <c r="Z370" s="199"/>
      <c r="AA370" s="200">
        <f t="shared" ca="1" si="462"/>
        <v>30</v>
      </c>
      <c r="AB370" s="509">
        <f t="shared" ca="1" si="459"/>
        <v>352</v>
      </c>
      <c r="AC370" s="200">
        <f t="shared" ref="AC370:AC377" si="515">+AC369</f>
        <v>30</v>
      </c>
      <c r="AD370" s="201">
        <f t="shared" si="512"/>
        <v>5</v>
      </c>
      <c r="AE370" s="202">
        <f t="shared" ca="1" si="485"/>
        <v>55123</v>
      </c>
      <c r="AF370" s="203">
        <f>IF(Dashboard!$R$24="Float",AF369+Dashboard!$R$24/12,AF369)</f>
        <v>0.06</v>
      </c>
      <c r="AG370" s="204">
        <f t="shared" si="475"/>
        <v>353</v>
      </c>
      <c r="AH370" s="205">
        <f t="shared" si="476"/>
        <v>0</v>
      </c>
      <c r="AI370" s="205">
        <f t="shared" si="460"/>
        <v>0</v>
      </c>
      <c r="AJ370" s="205">
        <f t="shared" si="461"/>
        <v>0</v>
      </c>
      <c r="AK370" s="205">
        <f t="shared" si="477"/>
        <v>0</v>
      </c>
      <c r="AL370" s="205">
        <f t="shared" si="478"/>
        <v>0</v>
      </c>
      <c r="AM370" s="199"/>
      <c r="AN370" s="200">
        <f t="shared" ref="AN370:AN377" si="516">+AN369</f>
        <v>31</v>
      </c>
      <c r="AO370" s="201">
        <f t="shared" si="513"/>
        <v>5</v>
      </c>
      <c r="AP370" s="202">
        <f t="shared" ca="1" si="486"/>
        <v>55123</v>
      </c>
      <c r="AQ370" s="203">
        <f>IF(Dashboard!$S$20="Float",AQ369+Dashboard!$T$20/12,AQ369)</f>
        <v>4.4999999999999998E-2</v>
      </c>
      <c r="AR370" s="204">
        <f t="shared" si="479"/>
        <v>353</v>
      </c>
      <c r="AS370" s="205">
        <f t="shared" si="480"/>
        <v>142521.02709106088</v>
      </c>
      <c r="AT370" s="205">
        <f t="shared" si="463"/>
        <v>-18117.071455543857</v>
      </c>
      <c r="AU370" s="205">
        <f t="shared" si="464"/>
        <v>-534.45385159147827</v>
      </c>
      <c r="AV370" s="205">
        <f t="shared" si="481"/>
        <v>-17582.617603952378</v>
      </c>
      <c r="AW370" s="205">
        <f t="shared" si="482"/>
        <v>124938.4094871085</v>
      </c>
      <c r="AX370" s="199"/>
    </row>
    <row r="371" spans="1:50">
      <c r="A371" s="73"/>
      <c r="B371" s="570"/>
      <c r="C371" s="200">
        <f t="shared" si="514"/>
        <v>30</v>
      </c>
      <c r="D371" s="201">
        <f t="shared" si="510"/>
        <v>6</v>
      </c>
      <c r="E371" s="202">
        <f t="shared" ca="1" si="483"/>
        <v>55154</v>
      </c>
      <c r="F371" s="203">
        <f>IF(Dashboard!$Q$5="Float",F370+Dashboard!$R$5/12,F370)</f>
        <v>0.04</v>
      </c>
      <c r="G371" s="204">
        <f t="shared" si="465"/>
        <v>354</v>
      </c>
      <c r="H371" s="205">
        <f t="shared" si="466"/>
        <v>123667.13282913991</v>
      </c>
      <c r="I371" s="205">
        <f t="shared" si="453"/>
        <v>-17903.073579954711</v>
      </c>
      <c r="J371" s="205">
        <f t="shared" si="454"/>
        <v>-412.223776097133</v>
      </c>
      <c r="K371" s="205">
        <f t="shared" si="467"/>
        <v>-17490.849803857578</v>
      </c>
      <c r="L371" s="205">
        <f t="shared" si="468"/>
        <v>106176.28302528233</v>
      </c>
      <c r="M371" s="199"/>
      <c r="N371" s="200">
        <f t="shared" ca="1" si="469"/>
        <v>17</v>
      </c>
      <c r="O371" s="509">
        <f t="shared" ca="1" si="455"/>
        <v>202</v>
      </c>
      <c r="P371" s="200">
        <f t="shared" ca="1" si="456"/>
        <v>17</v>
      </c>
      <c r="Q371" s="201">
        <f t="shared" si="511"/>
        <v>6</v>
      </c>
      <c r="R371" s="202">
        <f t="shared" si="484"/>
        <v>50557</v>
      </c>
      <c r="S371" s="203">
        <f t="shared" si="470"/>
        <v>0.04</v>
      </c>
      <c r="T371" s="204">
        <f t="shared" ca="1" si="471"/>
        <v>167</v>
      </c>
      <c r="U371" s="205">
        <f t="shared" ca="1" si="472"/>
        <v>340622.15036111977</v>
      </c>
      <c r="V371" s="205">
        <f t="shared" ca="1" si="457"/>
        <v>-2387.0764773272967</v>
      </c>
      <c r="W371" s="205">
        <f t="shared" ca="1" si="458"/>
        <v>-1135.4071678703992</v>
      </c>
      <c r="X371" s="205">
        <f t="shared" ca="1" si="473"/>
        <v>-1251.6693094568975</v>
      </c>
      <c r="Y371" s="205">
        <f t="shared" ca="1" si="474"/>
        <v>339370.48105166288</v>
      </c>
      <c r="Z371" s="199"/>
      <c r="AA371" s="200">
        <f t="shared" ca="1" si="462"/>
        <v>30</v>
      </c>
      <c r="AB371" s="509">
        <f t="shared" ca="1" si="459"/>
        <v>353</v>
      </c>
      <c r="AC371" s="200">
        <f t="shared" si="515"/>
        <v>30</v>
      </c>
      <c r="AD371" s="201">
        <f t="shared" si="512"/>
        <v>6</v>
      </c>
      <c r="AE371" s="202">
        <f t="shared" ca="1" si="485"/>
        <v>55154</v>
      </c>
      <c r="AF371" s="203">
        <f>IF(Dashboard!$R$24="Float",AF370+Dashboard!$R$24/12,AF370)</f>
        <v>0.06</v>
      </c>
      <c r="AG371" s="204">
        <f t="shared" si="475"/>
        <v>354</v>
      </c>
      <c r="AH371" s="205">
        <f t="shared" si="476"/>
        <v>0</v>
      </c>
      <c r="AI371" s="205">
        <f t="shared" si="460"/>
        <v>0</v>
      </c>
      <c r="AJ371" s="205">
        <f t="shared" si="461"/>
        <v>0</v>
      </c>
      <c r="AK371" s="205">
        <f t="shared" si="477"/>
        <v>0</v>
      </c>
      <c r="AL371" s="205">
        <f t="shared" si="478"/>
        <v>0</v>
      </c>
      <c r="AM371" s="199"/>
      <c r="AN371" s="200">
        <f t="shared" si="516"/>
        <v>31</v>
      </c>
      <c r="AO371" s="201">
        <f t="shared" si="513"/>
        <v>6</v>
      </c>
      <c r="AP371" s="202">
        <f t="shared" ca="1" si="486"/>
        <v>55154</v>
      </c>
      <c r="AQ371" s="203">
        <f>IF(Dashboard!$S$20="Float",AQ370+Dashboard!$T$20/12,AQ370)</f>
        <v>4.4999999999999998E-2</v>
      </c>
      <c r="AR371" s="204">
        <f t="shared" si="479"/>
        <v>354</v>
      </c>
      <c r="AS371" s="205">
        <f t="shared" si="480"/>
        <v>124938.4094871085</v>
      </c>
      <c r="AT371" s="205">
        <f t="shared" si="463"/>
        <v>-18117.071455543854</v>
      </c>
      <c r="AU371" s="205">
        <f t="shared" si="464"/>
        <v>-468.51903557665679</v>
      </c>
      <c r="AV371" s="205">
        <f t="shared" si="481"/>
        <v>-17648.552419967196</v>
      </c>
      <c r="AW371" s="205">
        <f t="shared" si="482"/>
        <v>107289.8570671413</v>
      </c>
      <c r="AX371" s="199"/>
    </row>
    <row r="372" spans="1:50">
      <c r="A372" s="73"/>
      <c r="B372" s="570"/>
      <c r="C372" s="200">
        <f t="shared" si="514"/>
        <v>30</v>
      </c>
      <c r="D372" s="201">
        <f t="shared" si="510"/>
        <v>7</v>
      </c>
      <c r="E372" s="202">
        <f t="shared" ca="1" si="483"/>
        <v>55185</v>
      </c>
      <c r="F372" s="203">
        <f>IF(Dashboard!$Q$5="Float",F371+Dashboard!$R$5/12,F371)</f>
        <v>0.04</v>
      </c>
      <c r="G372" s="204">
        <f t="shared" si="465"/>
        <v>355</v>
      </c>
      <c r="H372" s="205">
        <f t="shared" si="466"/>
        <v>106176.28302528233</v>
      </c>
      <c r="I372" s="205">
        <f t="shared" si="453"/>
        <v>-17903.073579954711</v>
      </c>
      <c r="J372" s="205">
        <f t="shared" si="454"/>
        <v>-353.92094341760776</v>
      </c>
      <c r="K372" s="205">
        <f t="shared" si="467"/>
        <v>-17549.152636537103</v>
      </c>
      <c r="L372" s="205">
        <f t="shared" si="468"/>
        <v>88627.130388745223</v>
      </c>
      <c r="M372" s="199"/>
      <c r="N372" s="200">
        <f t="shared" ca="1" si="469"/>
        <v>17</v>
      </c>
      <c r="O372" s="509">
        <f t="shared" ca="1" si="455"/>
        <v>203</v>
      </c>
      <c r="P372" s="200">
        <f t="shared" ca="1" si="456"/>
        <v>17</v>
      </c>
      <c r="Q372" s="201">
        <f t="shared" si="511"/>
        <v>7</v>
      </c>
      <c r="R372" s="202">
        <f t="shared" si="484"/>
        <v>50587</v>
      </c>
      <c r="S372" s="203">
        <f t="shared" si="470"/>
        <v>0.04</v>
      </c>
      <c r="T372" s="204">
        <f t="shared" ca="1" si="471"/>
        <v>168</v>
      </c>
      <c r="U372" s="205">
        <f t="shared" ca="1" si="472"/>
        <v>339370.48105166288</v>
      </c>
      <c r="V372" s="205">
        <f t="shared" ca="1" si="457"/>
        <v>-2387.0764773272977</v>
      </c>
      <c r="W372" s="205">
        <f t="shared" ca="1" si="458"/>
        <v>-1131.2349368388761</v>
      </c>
      <c r="X372" s="205">
        <f t="shared" ca="1" si="473"/>
        <v>-1255.8415404884215</v>
      </c>
      <c r="Y372" s="205">
        <f t="shared" ca="1" si="474"/>
        <v>338114.63951117446</v>
      </c>
      <c r="Z372" s="199"/>
      <c r="AA372" s="200">
        <f t="shared" ca="1" si="462"/>
        <v>30</v>
      </c>
      <c r="AB372" s="509">
        <f t="shared" ca="1" si="459"/>
        <v>354</v>
      </c>
      <c r="AC372" s="200">
        <f t="shared" si="515"/>
        <v>30</v>
      </c>
      <c r="AD372" s="201">
        <f t="shared" si="512"/>
        <v>7</v>
      </c>
      <c r="AE372" s="202">
        <f t="shared" ca="1" si="485"/>
        <v>55185</v>
      </c>
      <c r="AF372" s="203">
        <f>IF(Dashboard!$R$24="Float",AF371+Dashboard!$R$24/12,AF371)</f>
        <v>0.06</v>
      </c>
      <c r="AG372" s="204">
        <f t="shared" si="475"/>
        <v>355</v>
      </c>
      <c r="AH372" s="205">
        <f t="shared" si="476"/>
        <v>0</v>
      </c>
      <c r="AI372" s="205">
        <f t="shared" si="460"/>
        <v>0</v>
      </c>
      <c r="AJ372" s="205">
        <f t="shared" si="461"/>
        <v>0</v>
      </c>
      <c r="AK372" s="205">
        <f t="shared" si="477"/>
        <v>0</v>
      </c>
      <c r="AL372" s="205">
        <f t="shared" si="478"/>
        <v>0</v>
      </c>
      <c r="AM372" s="199"/>
      <c r="AN372" s="200">
        <f t="shared" si="516"/>
        <v>31</v>
      </c>
      <c r="AO372" s="201">
        <f t="shared" si="513"/>
        <v>7</v>
      </c>
      <c r="AP372" s="202">
        <f t="shared" ca="1" si="486"/>
        <v>55185</v>
      </c>
      <c r="AQ372" s="203">
        <f>IF(Dashboard!$S$20="Float",AQ371+Dashboard!$T$20/12,AQ371)</f>
        <v>4.4999999999999998E-2</v>
      </c>
      <c r="AR372" s="204">
        <f t="shared" si="479"/>
        <v>355</v>
      </c>
      <c r="AS372" s="205">
        <f t="shared" si="480"/>
        <v>107289.8570671413</v>
      </c>
      <c r="AT372" s="205">
        <f t="shared" si="463"/>
        <v>-18117.071455543854</v>
      </c>
      <c r="AU372" s="205">
        <f t="shared" si="464"/>
        <v>-402.3369640017799</v>
      </c>
      <c r="AV372" s="205">
        <f t="shared" si="481"/>
        <v>-17714.734491542073</v>
      </c>
      <c r="AW372" s="205">
        <f t="shared" si="482"/>
        <v>89575.122575599235</v>
      </c>
      <c r="AX372" s="199"/>
    </row>
    <row r="373" spans="1:50">
      <c r="A373" s="73"/>
      <c r="B373" s="570"/>
      <c r="C373" s="200">
        <f t="shared" si="514"/>
        <v>30</v>
      </c>
      <c r="D373" s="201">
        <f t="shared" si="510"/>
        <v>8</v>
      </c>
      <c r="E373" s="202">
        <f t="shared" ca="1" si="483"/>
        <v>55213</v>
      </c>
      <c r="F373" s="203">
        <f>IF(Dashboard!$Q$5="Float",F372+Dashboard!$R$5/12,F372)</f>
        <v>0.04</v>
      </c>
      <c r="G373" s="204">
        <f t="shared" si="465"/>
        <v>356</v>
      </c>
      <c r="H373" s="205">
        <f t="shared" si="466"/>
        <v>88627.130388745223</v>
      </c>
      <c r="I373" s="205">
        <f t="shared" si="453"/>
        <v>-17903.073579954711</v>
      </c>
      <c r="J373" s="205">
        <f t="shared" si="454"/>
        <v>-295.42376796248408</v>
      </c>
      <c r="K373" s="205">
        <f t="shared" si="467"/>
        <v>-17607.649811992225</v>
      </c>
      <c r="L373" s="205">
        <f t="shared" si="468"/>
        <v>71019.480576753005</v>
      </c>
      <c r="M373" s="199"/>
      <c r="N373" s="200">
        <f t="shared" ca="1" si="469"/>
        <v>17</v>
      </c>
      <c r="O373" s="509">
        <f t="shared" ca="1" si="455"/>
        <v>204</v>
      </c>
      <c r="P373" s="200">
        <f t="shared" ca="1" si="456"/>
        <v>18</v>
      </c>
      <c r="Q373" s="201">
        <f t="shared" si="511"/>
        <v>8</v>
      </c>
      <c r="R373" s="202">
        <f t="shared" si="484"/>
        <v>50618</v>
      </c>
      <c r="S373" s="203">
        <f t="shared" si="470"/>
        <v>0.04</v>
      </c>
      <c r="T373" s="204">
        <f t="shared" ca="1" si="471"/>
        <v>169</v>
      </c>
      <c r="U373" s="205">
        <f t="shared" ca="1" si="472"/>
        <v>338114.63951117446</v>
      </c>
      <c r="V373" s="205">
        <f t="shared" ca="1" si="457"/>
        <v>-2387.0764773272972</v>
      </c>
      <c r="W373" s="205">
        <f t="shared" ca="1" si="458"/>
        <v>-1127.0487983705816</v>
      </c>
      <c r="X373" s="205">
        <f t="shared" ca="1" si="473"/>
        <v>-1260.0276789567156</v>
      </c>
      <c r="Y373" s="205">
        <f t="shared" ca="1" si="474"/>
        <v>336854.61183221772</v>
      </c>
      <c r="Z373" s="199"/>
      <c r="AA373" s="200">
        <f t="shared" ca="1" si="462"/>
        <v>30</v>
      </c>
      <c r="AB373" s="509">
        <f t="shared" ca="1" si="459"/>
        <v>355</v>
      </c>
      <c r="AC373" s="200">
        <f t="shared" si="515"/>
        <v>30</v>
      </c>
      <c r="AD373" s="201">
        <f t="shared" si="512"/>
        <v>8</v>
      </c>
      <c r="AE373" s="202">
        <f t="shared" ca="1" si="485"/>
        <v>55213</v>
      </c>
      <c r="AF373" s="203">
        <f>IF(Dashboard!$R$24="Float",AF372+Dashboard!$R$24/12,AF372)</f>
        <v>0.06</v>
      </c>
      <c r="AG373" s="204">
        <f t="shared" si="475"/>
        <v>356</v>
      </c>
      <c r="AH373" s="205">
        <f t="shared" si="476"/>
        <v>0</v>
      </c>
      <c r="AI373" s="205">
        <f t="shared" si="460"/>
        <v>0</v>
      </c>
      <c r="AJ373" s="205">
        <f t="shared" si="461"/>
        <v>0</v>
      </c>
      <c r="AK373" s="205">
        <f t="shared" si="477"/>
        <v>0</v>
      </c>
      <c r="AL373" s="205">
        <f t="shared" si="478"/>
        <v>0</v>
      </c>
      <c r="AM373" s="199"/>
      <c r="AN373" s="200">
        <f t="shared" si="516"/>
        <v>31</v>
      </c>
      <c r="AO373" s="201">
        <f t="shared" si="513"/>
        <v>8</v>
      </c>
      <c r="AP373" s="202">
        <f t="shared" ca="1" si="486"/>
        <v>55213</v>
      </c>
      <c r="AQ373" s="203">
        <f>IF(Dashboard!$S$20="Float",AQ372+Dashboard!$T$20/12,AQ372)</f>
        <v>4.4999999999999998E-2</v>
      </c>
      <c r="AR373" s="204">
        <f t="shared" si="479"/>
        <v>356</v>
      </c>
      <c r="AS373" s="205">
        <f t="shared" si="480"/>
        <v>89575.122575599235</v>
      </c>
      <c r="AT373" s="205">
        <f t="shared" si="463"/>
        <v>-18117.071455543857</v>
      </c>
      <c r="AU373" s="205">
        <f t="shared" si="464"/>
        <v>-335.90670965849711</v>
      </c>
      <c r="AV373" s="205">
        <f t="shared" si="481"/>
        <v>-17781.164745885359</v>
      </c>
      <c r="AW373" s="205">
        <f t="shared" si="482"/>
        <v>71793.95782971388</v>
      </c>
      <c r="AX373" s="199"/>
    </row>
    <row r="374" spans="1:50">
      <c r="A374" s="73"/>
      <c r="B374" s="570"/>
      <c r="C374" s="200">
        <f t="shared" si="514"/>
        <v>30</v>
      </c>
      <c r="D374" s="201">
        <f t="shared" si="510"/>
        <v>9</v>
      </c>
      <c r="E374" s="202">
        <f t="shared" ca="1" si="483"/>
        <v>55244</v>
      </c>
      <c r="F374" s="203">
        <f>IF(Dashboard!$Q$5="Float",F373+Dashboard!$R$5/12,F373)</f>
        <v>0.04</v>
      </c>
      <c r="G374" s="204">
        <f t="shared" si="465"/>
        <v>357</v>
      </c>
      <c r="H374" s="205">
        <f t="shared" si="466"/>
        <v>71019.480576753005</v>
      </c>
      <c r="I374" s="205">
        <f t="shared" si="453"/>
        <v>-17903.073579954715</v>
      </c>
      <c r="J374" s="205">
        <f t="shared" si="454"/>
        <v>-236.73160192251001</v>
      </c>
      <c r="K374" s="205">
        <f t="shared" si="467"/>
        <v>-17666.341978032204</v>
      </c>
      <c r="L374" s="205">
        <f t="shared" si="468"/>
        <v>53353.138598720805</v>
      </c>
      <c r="M374" s="199"/>
      <c r="N374" s="200">
        <f t="shared" ca="1" si="469"/>
        <v>18</v>
      </c>
      <c r="O374" s="509">
        <f t="shared" ca="1" si="455"/>
        <v>205</v>
      </c>
      <c r="P374" s="200">
        <f t="shared" ca="1" si="456"/>
        <v>18</v>
      </c>
      <c r="Q374" s="201">
        <f t="shared" si="511"/>
        <v>9</v>
      </c>
      <c r="R374" s="202">
        <f t="shared" si="484"/>
        <v>50649</v>
      </c>
      <c r="S374" s="203">
        <f t="shared" si="470"/>
        <v>0.04</v>
      </c>
      <c r="T374" s="204">
        <f t="shared" ca="1" si="471"/>
        <v>170</v>
      </c>
      <c r="U374" s="205">
        <f t="shared" ca="1" si="472"/>
        <v>336854.61183221772</v>
      </c>
      <c r="V374" s="205">
        <f t="shared" ca="1" si="457"/>
        <v>-2387.0764773272967</v>
      </c>
      <c r="W374" s="205">
        <f t="shared" ca="1" si="458"/>
        <v>-1122.8487061073924</v>
      </c>
      <c r="X374" s="205">
        <f t="shared" ca="1" si="473"/>
        <v>-1264.2277712199043</v>
      </c>
      <c r="Y374" s="205">
        <f t="shared" ca="1" si="474"/>
        <v>335590.38406099781</v>
      </c>
      <c r="Z374" s="199"/>
      <c r="AA374" s="200">
        <f t="shared" ca="1" si="462"/>
        <v>30</v>
      </c>
      <c r="AB374" s="509">
        <f t="shared" ca="1" si="459"/>
        <v>356</v>
      </c>
      <c r="AC374" s="200">
        <f t="shared" si="515"/>
        <v>30</v>
      </c>
      <c r="AD374" s="201">
        <f t="shared" si="512"/>
        <v>9</v>
      </c>
      <c r="AE374" s="202">
        <f t="shared" ca="1" si="485"/>
        <v>55244</v>
      </c>
      <c r="AF374" s="203">
        <f>IF(Dashboard!$R$24="Float",AF373+Dashboard!$R$24/12,AF373)</f>
        <v>0.06</v>
      </c>
      <c r="AG374" s="204">
        <f t="shared" si="475"/>
        <v>357</v>
      </c>
      <c r="AH374" s="205">
        <f t="shared" si="476"/>
        <v>0</v>
      </c>
      <c r="AI374" s="205">
        <f t="shared" si="460"/>
        <v>0</v>
      </c>
      <c r="AJ374" s="205">
        <f t="shared" si="461"/>
        <v>0</v>
      </c>
      <c r="AK374" s="205">
        <f t="shared" si="477"/>
        <v>0</v>
      </c>
      <c r="AL374" s="205">
        <f t="shared" si="478"/>
        <v>0</v>
      </c>
      <c r="AM374" s="199"/>
      <c r="AN374" s="200">
        <f t="shared" si="516"/>
        <v>31</v>
      </c>
      <c r="AO374" s="201">
        <f t="shared" si="513"/>
        <v>9</v>
      </c>
      <c r="AP374" s="202">
        <f t="shared" ca="1" si="486"/>
        <v>55244</v>
      </c>
      <c r="AQ374" s="203">
        <f>IF(Dashboard!$S$20="Float",AQ373+Dashboard!$T$20/12,AQ373)</f>
        <v>4.4999999999999998E-2</v>
      </c>
      <c r="AR374" s="204">
        <f t="shared" si="479"/>
        <v>357</v>
      </c>
      <c r="AS374" s="205">
        <f t="shared" si="480"/>
        <v>71793.95782971388</v>
      </c>
      <c r="AT374" s="205">
        <f t="shared" si="463"/>
        <v>-18117.071455543861</v>
      </c>
      <c r="AU374" s="205">
        <f t="shared" si="464"/>
        <v>-269.22734186142702</v>
      </c>
      <c r="AV374" s="205">
        <f t="shared" si="481"/>
        <v>-17847.844113682433</v>
      </c>
      <c r="AW374" s="205">
        <f t="shared" si="482"/>
        <v>53946.113716031447</v>
      </c>
      <c r="AX374" s="199"/>
    </row>
    <row r="375" spans="1:50">
      <c r="A375" s="73"/>
      <c r="B375" s="570"/>
      <c r="C375" s="200">
        <f t="shared" si="514"/>
        <v>30</v>
      </c>
      <c r="D375" s="201">
        <f t="shared" si="510"/>
        <v>10</v>
      </c>
      <c r="E375" s="202">
        <f t="shared" ca="1" si="483"/>
        <v>55274</v>
      </c>
      <c r="F375" s="203">
        <f>IF(Dashboard!$Q$5="Float",F374+Dashboard!$R$5/12,F374)</f>
        <v>0.04</v>
      </c>
      <c r="G375" s="204">
        <f t="shared" si="465"/>
        <v>358</v>
      </c>
      <c r="H375" s="205">
        <f t="shared" si="466"/>
        <v>53353.138598720805</v>
      </c>
      <c r="I375" s="205">
        <f t="shared" si="453"/>
        <v>-17903.073579954718</v>
      </c>
      <c r="J375" s="205">
        <f t="shared" si="454"/>
        <v>-177.84379532906937</v>
      </c>
      <c r="K375" s="205">
        <f t="shared" si="467"/>
        <v>-17725.229784625648</v>
      </c>
      <c r="L375" s="205">
        <f t="shared" si="468"/>
        <v>35627.908814095157</v>
      </c>
      <c r="M375" s="199"/>
      <c r="N375" s="200">
        <f t="shared" ca="1" si="469"/>
        <v>18</v>
      </c>
      <c r="O375" s="509">
        <f t="shared" ca="1" si="455"/>
        <v>206</v>
      </c>
      <c r="P375" s="200">
        <f t="shared" ca="1" si="456"/>
        <v>18</v>
      </c>
      <c r="Q375" s="201">
        <f t="shared" si="511"/>
        <v>10</v>
      </c>
      <c r="R375" s="202">
        <f t="shared" si="484"/>
        <v>50679</v>
      </c>
      <c r="S375" s="203">
        <f t="shared" si="470"/>
        <v>0.04</v>
      </c>
      <c r="T375" s="204">
        <f t="shared" ca="1" si="471"/>
        <v>171</v>
      </c>
      <c r="U375" s="205">
        <f t="shared" ca="1" si="472"/>
        <v>335590.38406099781</v>
      </c>
      <c r="V375" s="205">
        <f t="shared" ca="1" si="457"/>
        <v>-2387.0764773272967</v>
      </c>
      <c r="W375" s="205">
        <f t="shared" ca="1" si="458"/>
        <v>-1118.6346135366593</v>
      </c>
      <c r="X375" s="205">
        <f t="shared" ca="1" si="473"/>
        <v>-1268.4418637906374</v>
      </c>
      <c r="Y375" s="205">
        <f t="shared" ca="1" si="474"/>
        <v>334321.94219720719</v>
      </c>
      <c r="Z375" s="199"/>
      <c r="AA375" s="200">
        <f t="shared" ca="1" si="462"/>
        <v>30</v>
      </c>
      <c r="AB375" s="509">
        <f t="shared" ca="1" si="459"/>
        <v>357</v>
      </c>
      <c r="AC375" s="200">
        <f t="shared" si="515"/>
        <v>30</v>
      </c>
      <c r="AD375" s="201">
        <f t="shared" si="512"/>
        <v>10</v>
      </c>
      <c r="AE375" s="202">
        <f t="shared" ca="1" si="485"/>
        <v>55274</v>
      </c>
      <c r="AF375" s="203">
        <f>IF(Dashboard!$R$24="Float",AF374+Dashboard!$R$24/12,AF374)</f>
        <v>0.06</v>
      </c>
      <c r="AG375" s="204">
        <f t="shared" si="475"/>
        <v>358</v>
      </c>
      <c r="AH375" s="205">
        <f t="shared" si="476"/>
        <v>0</v>
      </c>
      <c r="AI375" s="205">
        <f t="shared" si="460"/>
        <v>0</v>
      </c>
      <c r="AJ375" s="205">
        <f t="shared" si="461"/>
        <v>0</v>
      </c>
      <c r="AK375" s="205">
        <f t="shared" si="477"/>
        <v>0</v>
      </c>
      <c r="AL375" s="205">
        <f t="shared" si="478"/>
        <v>0</v>
      </c>
      <c r="AM375" s="199"/>
      <c r="AN375" s="200">
        <f t="shared" si="516"/>
        <v>31</v>
      </c>
      <c r="AO375" s="201">
        <f t="shared" si="513"/>
        <v>10</v>
      </c>
      <c r="AP375" s="202">
        <f t="shared" ca="1" si="486"/>
        <v>55274</v>
      </c>
      <c r="AQ375" s="203">
        <f>IF(Dashboard!$S$20="Float",AQ374+Dashboard!$T$20/12,AQ374)</f>
        <v>4.4999999999999998E-2</v>
      </c>
      <c r="AR375" s="204">
        <f t="shared" si="479"/>
        <v>358</v>
      </c>
      <c r="AS375" s="205">
        <f t="shared" si="480"/>
        <v>53946.113716031447</v>
      </c>
      <c r="AT375" s="205">
        <f t="shared" si="463"/>
        <v>-18117.071455543857</v>
      </c>
      <c r="AU375" s="205">
        <f t="shared" si="464"/>
        <v>-202.29792643511792</v>
      </c>
      <c r="AV375" s="205">
        <f t="shared" si="481"/>
        <v>-17914.773529108737</v>
      </c>
      <c r="AW375" s="205">
        <f t="shared" si="482"/>
        <v>36031.340186922709</v>
      </c>
      <c r="AX375" s="199"/>
    </row>
    <row r="376" spans="1:50">
      <c r="A376" s="73"/>
      <c r="B376" s="570"/>
      <c r="C376" s="200">
        <f t="shared" si="514"/>
        <v>30</v>
      </c>
      <c r="D376" s="201">
        <f t="shared" si="510"/>
        <v>11</v>
      </c>
      <c r="E376" s="202">
        <f t="shared" ca="1" si="483"/>
        <v>55305</v>
      </c>
      <c r="F376" s="203">
        <f>IF(Dashboard!$Q$5="Float",F375+Dashboard!$R$5/12,F375)</f>
        <v>0.04</v>
      </c>
      <c r="G376" s="204">
        <f t="shared" si="465"/>
        <v>359</v>
      </c>
      <c r="H376" s="205">
        <f t="shared" si="466"/>
        <v>35627.908814095157</v>
      </c>
      <c r="I376" s="205">
        <f t="shared" si="453"/>
        <v>-17903.073579954715</v>
      </c>
      <c r="J376" s="205">
        <f t="shared" si="454"/>
        <v>-118.75969604698385</v>
      </c>
      <c r="K376" s="205">
        <f t="shared" si="467"/>
        <v>-17784.313883907729</v>
      </c>
      <c r="L376" s="205">
        <f t="shared" si="468"/>
        <v>17843.594930187428</v>
      </c>
      <c r="M376" s="199"/>
      <c r="N376" s="200">
        <f t="shared" ca="1" si="469"/>
        <v>18</v>
      </c>
      <c r="O376" s="509">
        <f t="shared" ca="1" si="455"/>
        <v>207</v>
      </c>
      <c r="P376" s="200">
        <f t="shared" ca="1" si="456"/>
        <v>18</v>
      </c>
      <c r="Q376" s="201">
        <f t="shared" si="511"/>
        <v>11</v>
      </c>
      <c r="R376" s="202">
        <f t="shared" si="484"/>
        <v>50710</v>
      </c>
      <c r="S376" s="203">
        <f t="shared" si="470"/>
        <v>0.04</v>
      </c>
      <c r="T376" s="204">
        <f t="shared" ca="1" si="471"/>
        <v>172</v>
      </c>
      <c r="U376" s="205">
        <f t="shared" ca="1" si="472"/>
        <v>334321.94219720719</v>
      </c>
      <c r="V376" s="205">
        <f t="shared" ca="1" si="457"/>
        <v>-2387.0764773272977</v>
      </c>
      <c r="W376" s="205">
        <f t="shared" ca="1" si="458"/>
        <v>-1114.4064739906905</v>
      </c>
      <c r="X376" s="205">
        <f t="shared" ca="1" si="473"/>
        <v>-1272.6700033366071</v>
      </c>
      <c r="Y376" s="205">
        <f t="shared" ca="1" si="474"/>
        <v>333049.27219387057</v>
      </c>
      <c r="Z376" s="199"/>
      <c r="AA376" s="200">
        <f t="shared" ca="1" si="462"/>
        <v>30</v>
      </c>
      <c r="AB376" s="509">
        <f t="shared" ca="1" si="459"/>
        <v>358</v>
      </c>
      <c r="AC376" s="200">
        <f t="shared" si="515"/>
        <v>30</v>
      </c>
      <c r="AD376" s="201">
        <f t="shared" si="512"/>
        <v>11</v>
      </c>
      <c r="AE376" s="202">
        <f t="shared" ca="1" si="485"/>
        <v>55305</v>
      </c>
      <c r="AF376" s="203">
        <f>IF(Dashboard!$R$24="Float",AF375+Dashboard!$R$24/12,AF375)</f>
        <v>0.06</v>
      </c>
      <c r="AG376" s="204">
        <f t="shared" si="475"/>
        <v>359</v>
      </c>
      <c r="AH376" s="205">
        <f t="shared" si="476"/>
        <v>0</v>
      </c>
      <c r="AI376" s="205">
        <f t="shared" si="460"/>
        <v>0</v>
      </c>
      <c r="AJ376" s="205">
        <f t="shared" si="461"/>
        <v>0</v>
      </c>
      <c r="AK376" s="205">
        <f t="shared" si="477"/>
        <v>0</v>
      </c>
      <c r="AL376" s="205">
        <f t="shared" si="478"/>
        <v>0</v>
      </c>
      <c r="AM376" s="199"/>
      <c r="AN376" s="200">
        <f t="shared" si="516"/>
        <v>31</v>
      </c>
      <c r="AO376" s="201">
        <f t="shared" si="513"/>
        <v>11</v>
      </c>
      <c r="AP376" s="202">
        <f t="shared" ca="1" si="486"/>
        <v>55305</v>
      </c>
      <c r="AQ376" s="203">
        <f>IF(Dashboard!$S$20="Float",AQ375+Dashboard!$T$20/12,AQ375)</f>
        <v>4.4999999999999998E-2</v>
      </c>
      <c r="AR376" s="204">
        <f t="shared" si="479"/>
        <v>359</v>
      </c>
      <c r="AS376" s="205">
        <f t="shared" si="480"/>
        <v>36031.340186922709</v>
      </c>
      <c r="AT376" s="205">
        <f t="shared" si="463"/>
        <v>-18117.071455543861</v>
      </c>
      <c r="AU376" s="205">
        <f t="shared" si="464"/>
        <v>-135.11752570096016</v>
      </c>
      <c r="AV376" s="205">
        <f t="shared" si="481"/>
        <v>-17981.953929842901</v>
      </c>
      <c r="AW376" s="205">
        <f t="shared" si="482"/>
        <v>18049.386257079808</v>
      </c>
      <c r="AX376" s="199"/>
    </row>
    <row r="377" spans="1:50">
      <c r="A377" s="73"/>
      <c r="B377" s="570"/>
      <c r="C377" s="200">
        <f t="shared" si="514"/>
        <v>30</v>
      </c>
      <c r="D377" s="201">
        <f t="shared" si="510"/>
        <v>12</v>
      </c>
      <c r="E377" s="202">
        <f t="shared" ca="1" si="483"/>
        <v>55335</v>
      </c>
      <c r="F377" s="203">
        <f>IF(Dashboard!$Q$5="Float",F376+Dashboard!$R$5/12,F376)</f>
        <v>0.04</v>
      </c>
      <c r="G377" s="204">
        <f t="shared" si="465"/>
        <v>360</v>
      </c>
      <c r="H377" s="205">
        <f t="shared" si="466"/>
        <v>17843.594930187428</v>
      </c>
      <c r="I377" s="205">
        <f t="shared" si="453"/>
        <v>-17903.073579954718</v>
      </c>
      <c r="J377" s="205">
        <f t="shared" si="454"/>
        <v>-59.478649767291422</v>
      </c>
      <c r="K377" s="205">
        <f t="shared" si="467"/>
        <v>-17843.594930187428</v>
      </c>
      <c r="L377" s="205">
        <f t="shared" si="468"/>
        <v>0</v>
      </c>
      <c r="M377" s="199"/>
      <c r="N377" s="200">
        <f t="shared" ca="1" si="469"/>
        <v>18</v>
      </c>
      <c r="O377" s="509">
        <f t="shared" ca="1" si="455"/>
        <v>208</v>
      </c>
      <c r="P377" s="200">
        <f t="shared" ca="1" si="456"/>
        <v>18</v>
      </c>
      <c r="Q377" s="201">
        <f t="shared" si="511"/>
        <v>12</v>
      </c>
      <c r="R377" s="202">
        <f t="shared" si="484"/>
        <v>50740</v>
      </c>
      <c r="S377" s="203">
        <f t="shared" si="470"/>
        <v>0.04</v>
      </c>
      <c r="T377" s="204">
        <f t="shared" ca="1" si="471"/>
        <v>173</v>
      </c>
      <c r="U377" s="205">
        <f t="shared" ca="1" si="472"/>
        <v>333049.27219387057</v>
      </c>
      <c r="V377" s="205">
        <f t="shared" ca="1" si="457"/>
        <v>-2387.0764773272967</v>
      </c>
      <c r="W377" s="205">
        <f t="shared" ca="1" si="458"/>
        <v>-1110.1642406462354</v>
      </c>
      <c r="X377" s="205">
        <f t="shared" ca="1" si="473"/>
        <v>-1276.9122366810614</v>
      </c>
      <c r="Y377" s="205">
        <f t="shared" ca="1" si="474"/>
        <v>331772.35995718953</v>
      </c>
      <c r="Z377" s="199"/>
      <c r="AA377" s="200">
        <f t="shared" ca="1" si="462"/>
        <v>30</v>
      </c>
      <c r="AB377" s="509">
        <f t="shared" ca="1" si="459"/>
        <v>359</v>
      </c>
      <c r="AC377" s="200">
        <f t="shared" si="515"/>
        <v>30</v>
      </c>
      <c r="AD377" s="201">
        <f t="shared" si="512"/>
        <v>12</v>
      </c>
      <c r="AE377" s="202">
        <f t="shared" ca="1" si="485"/>
        <v>55335</v>
      </c>
      <c r="AF377" s="203">
        <f>IF(Dashboard!$R$24="Float",AF376+Dashboard!$R$24/12,AF376)</f>
        <v>0.06</v>
      </c>
      <c r="AG377" s="204">
        <f t="shared" si="475"/>
        <v>360</v>
      </c>
      <c r="AH377" s="205">
        <f t="shared" si="476"/>
        <v>0</v>
      </c>
      <c r="AI377" s="205">
        <f t="shared" si="460"/>
        <v>0</v>
      </c>
      <c r="AJ377" s="205">
        <f t="shared" si="461"/>
        <v>0</v>
      </c>
      <c r="AK377" s="205">
        <f t="shared" si="477"/>
        <v>0</v>
      </c>
      <c r="AL377" s="205">
        <f t="shared" si="478"/>
        <v>0</v>
      </c>
      <c r="AM377" s="199"/>
      <c r="AN377" s="200">
        <f t="shared" si="516"/>
        <v>31</v>
      </c>
      <c r="AO377" s="201">
        <f t="shared" si="513"/>
        <v>12</v>
      </c>
      <c r="AP377" s="202">
        <f t="shared" ca="1" si="486"/>
        <v>55335</v>
      </c>
      <c r="AQ377" s="203">
        <f>IF(Dashboard!$S$20="Float",AQ376+Dashboard!$T$20/12,AQ376)</f>
        <v>4.4999999999999998E-2</v>
      </c>
      <c r="AR377" s="204">
        <f t="shared" si="479"/>
        <v>360</v>
      </c>
      <c r="AS377" s="205">
        <f t="shared" si="480"/>
        <v>18049.386257079808</v>
      </c>
      <c r="AT377" s="205">
        <f t="shared" si="463"/>
        <v>-18117.071455543861</v>
      </c>
      <c r="AU377" s="205">
        <f t="shared" si="464"/>
        <v>-67.685198464049279</v>
      </c>
      <c r="AV377" s="205">
        <f t="shared" si="481"/>
        <v>-18049.386257079812</v>
      </c>
      <c r="AW377" s="205">
        <f t="shared" si="482"/>
        <v>-3.637978807091713E-12</v>
      </c>
      <c r="AX377" s="199"/>
    </row>
    <row r="378" spans="1:50">
      <c r="A378" s="73"/>
      <c r="B378" s="571">
        <f>+C378</f>
        <v>31</v>
      </c>
      <c r="C378" s="16">
        <f t="shared" ref="C378" si="517">+C377+1</f>
        <v>31</v>
      </c>
      <c r="D378" s="17">
        <v>1</v>
      </c>
      <c r="E378" s="18">
        <f t="shared" ca="1" si="483"/>
        <v>55366</v>
      </c>
      <c r="F378" s="10">
        <f>IF(Dashboard!$Q$5="Float",F377+Dashboard!$R$5/12,F377)</f>
        <v>0.04</v>
      </c>
      <c r="G378" s="14">
        <f t="shared" si="465"/>
        <v>361</v>
      </c>
      <c r="H378" s="5">
        <f t="shared" si="466"/>
        <v>0</v>
      </c>
      <c r="I378" s="5">
        <f t="shared" si="453"/>
        <v>0</v>
      </c>
      <c r="J378" s="5">
        <f t="shared" si="454"/>
        <v>0</v>
      </c>
      <c r="K378" s="5">
        <f t="shared" si="467"/>
        <v>0</v>
      </c>
      <c r="L378" s="5">
        <f t="shared" si="468"/>
        <v>0</v>
      </c>
      <c r="M378" s="199"/>
      <c r="N378" s="16">
        <f t="shared" ca="1" si="469"/>
        <v>18</v>
      </c>
      <c r="O378" s="508">
        <f t="shared" ca="1" si="455"/>
        <v>209</v>
      </c>
      <c r="P378" s="16">
        <f t="shared" ca="1" si="456"/>
        <v>18</v>
      </c>
      <c r="Q378" s="17">
        <v>1</v>
      </c>
      <c r="R378" s="18">
        <f t="shared" si="484"/>
        <v>50771</v>
      </c>
      <c r="S378" s="10">
        <f t="shared" si="470"/>
        <v>0.04</v>
      </c>
      <c r="T378" s="14">
        <f t="shared" ca="1" si="471"/>
        <v>174</v>
      </c>
      <c r="U378" s="5">
        <f t="shared" ca="1" si="472"/>
        <v>331772.35995718953</v>
      </c>
      <c r="V378" s="5">
        <f t="shared" ca="1" si="457"/>
        <v>-2387.0764773272977</v>
      </c>
      <c r="W378" s="5">
        <f t="shared" ca="1" si="458"/>
        <v>-1105.9078665239651</v>
      </c>
      <c r="X378" s="5">
        <f t="shared" ca="1" si="473"/>
        <v>-1281.1686108033325</v>
      </c>
      <c r="Y378" s="5">
        <f t="shared" ca="1" si="474"/>
        <v>330491.19134638621</v>
      </c>
      <c r="Z378" s="199"/>
      <c r="AA378" s="16">
        <f t="shared" ca="1" si="462"/>
        <v>30</v>
      </c>
      <c r="AB378" s="508">
        <f t="shared" ca="1" si="459"/>
        <v>360</v>
      </c>
      <c r="AC378" s="16">
        <f t="shared" ref="AC378" si="518">+AC377+1</f>
        <v>31</v>
      </c>
      <c r="AD378" s="17">
        <v>1</v>
      </c>
      <c r="AE378" s="18">
        <f t="shared" ca="1" si="485"/>
        <v>55366</v>
      </c>
      <c r="AF378" s="10">
        <f>IF(Dashboard!$R$24="Float",AF377+Dashboard!$R$24/12,AF377)</f>
        <v>0.06</v>
      </c>
      <c r="AG378" s="14">
        <f t="shared" si="475"/>
        <v>361</v>
      </c>
      <c r="AH378" s="5">
        <f t="shared" si="476"/>
        <v>0</v>
      </c>
      <c r="AI378" s="5">
        <f t="shared" si="460"/>
        <v>0</v>
      </c>
      <c r="AJ378" s="5">
        <f t="shared" si="461"/>
        <v>0</v>
      </c>
      <c r="AK378" s="5">
        <f t="shared" si="477"/>
        <v>0</v>
      </c>
      <c r="AL378" s="5">
        <f t="shared" si="478"/>
        <v>0</v>
      </c>
      <c r="AM378" s="199"/>
      <c r="AN378" s="16">
        <f t="shared" ref="AN378" si="519">+AN377+1</f>
        <v>32</v>
      </c>
      <c r="AO378" s="17">
        <v>1</v>
      </c>
      <c r="AP378" s="18">
        <f t="shared" ca="1" si="486"/>
        <v>55366</v>
      </c>
      <c r="AQ378" s="10">
        <f>IF(Dashboard!$S$20="Float",AQ377+Dashboard!$T$20/12,AQ377)</f>
        <v>4.4999999999999998E-2</v>
      </c>
      <c r="AR378" s="14">
        <f t="shared" si="479"/>
        <v>361</v>
      </c>
      <c r="AS378" s="5">
        <f t="shared" si="480"/>
        <v>-3.637978807091713E-12</v>
      </c>
      <c r="AT378" s="5">
        <f t="shared" si="463"/>
        <v>0</v>
      </c>
      <c r="AU378" s="5">
        <f t="shared" si="464"/>
        <v>1.3642420526593923E-14</v>
      </c>
      <c r="AV378" s="5">
        <f t="shared" si="481"/>
        <v>-1.3642420526593923E-14</v>
      </c>
      <c r="AW378" s="5">
        <f t="shared" si="482"/>
        <v>-3.6516212276183066E-12</v>
      </c>
      <c r="AX378" s="199"/>
    </row>
    <row r="379" spans="1:50">
      <c r="A379" s="73"/>
      <c r="B379" s="572"/>
      <c r="C379" s="16">
        <f>+C378</f>
        <v>31</v>
      </c>
      <c r="D379" s="17">
        <f>+D378+1</f>
        <v>2</v>
      </c>
      <c r="E379" s="18">
        <f t="shared" ca="1" si="483"/>
        <v>55397</v>
      </c>
      <c r="F379" s="10">
        <f>IF(Dashboard!$Q$5="Float",F378+Dashboard!$R$5/12,F378)</f>
        <v>0.04</v>
      </c>
      <c r="G379" s="14">
        <f t="shared" si="465"/>
        <v>362</v>
      </c>
      <c r="H379" s="5">
        <f t="shared" si="466"/>
        <v>0</v>
      </c>
      <c r="I379" s="5">
        <f t="shared" si="453"/>
        <v>0</v>
      </c>
      <c r="J379" s="5">
        <f t="shared" si="454"/>
        <v>0</v>
      </c>
      <c r="K379" s="5">
        <f t="shared" si="467"/>
        <v>0</v>
      </c>
      <c r="L379" s="5">
        <f t="shared" si="468"/>
        <v>0</v>
      </c>
      <c r="M379" s="199"/>
      <c r="N379" s="16">
        <f t="shared" ca="1" si="469"/>
        <v>18</v>
      </c>
      <c r="O379" s="508">
        <f t="shared" ca="1" si="455"/>
        <v>210</v>
      </c>
      <c r="P379" s="16">
        <f t="shared" ca="1" si="456"/>
        <v>18</v>
      </c>
      <c r="Q379" s="17">
        <f>+Q378+1</f>
        <v>2</v>
      </c>
      <c r="R379" s="18">
        <f t="shared" si="484"/>
        <v>50802</v>
      </c>
      <c r="S379" s="10">
        <f t="shared" si="470"/>
        <v>0.04</v>
      </c>
      <c r="T379" s="14">
        <f t="shared" ca="1" si="471"/>
        <v>175</v>
      </c>
      <c r="U379" s="5">
        <f t="shared" ca="1" si="472"/>
        <v>330491.19134638621</v>
      </c>
      <c r="V379" s="5">
        <f t="shared" ca="1" si="457"/>
        <v>-2387.0764773272977</v>
      </c>
      <c r="W379" s="5">
        <f t="shared" ca="1" si="458"/>
        <v>-1101.637304487954</v>
      </c>
      <c r="X379" s="5">
        <f t="shared" ca="1" si="473"/>
        <v>-1285.4391728393437</v>
      </c>
      <c r="Y379" s="5">
        <f t="shared" ca="1" si="474"/>
        <v>329205.75217354688</v>
      </c>
      <c r="Z379" s="199"/>
      <c r="AA379" s="16">
        <f t="shared" ca="1" si="462"/>
        <v>31</v>
      </c>
      <c r="AB379" s="508">
        <f t="shared" ca="1" si="459"/>
        <v>361</v>
      </c>
      <c r="AC379" s="16">
        <f>+AC378</f>
        <v>31</v>
      </c>
      <c r="AD379" s="17">
        <f>+AD378+1</f>
        <v>2</v>
      </c>
      <c r="AE379" s="18">
        <f t="shared" ca="1" si="485"/>
        <v>55397</v>
      </c>
      <c r="AF379" s="10">
        <f>IF(Dashboard!$R$24="Float",AF378+Dashboard!$R$24/12,AF378)</f>
        <v>0.06</v>
      </c>
      <c r="AG379" s="14">
        <f t="shared" si="475"/>
        <v>362</v>
      </c>
      <c r="AH379" s="5">
        <f t="shared" si="476"/>
        <v>0</v>
      </c>
      <c r="AI379" s="5">
        <f t="shared" si="460"/>
        <v>0</v>
      </c>
      <c r="AJ379" s="5">
        <f t="shared" si="461"/>
        <v>0</v>
      </c>
      <c r="AK379" s="5">
        <f t="shared" si="477"/>
        <v>0</v>
      </c>
      <c r="AL379" s="5">
        <f t="shared" si="478"/>
        <v>0</v>
      </c>
      <c r="AM379" s="199"/>
      <c r="AN379" s="16">
        <f>+AN378</f>
        <v>32</v>
      </c>
      <c r="AO379" s="17">
        <f>+AO378+1</f>
        <v>2</v>
      </c>
      <c r="AP379" s="18">
        <f t="shared" ca="1" si="486"/>
        <v>55397</v>
      </c>
      <c r="AQ379" s="10">
        <f>IF(Dashboard!$S$20="Float",AQ378+Dashboard!$T$20/12,AQ378)</f>
        <v>4.4999999999999998E-2</v>
      </c>
      <c r="AR379" s="14">
        <f t="shared" si="479"/>
        <v>362</v>
      </c>
      <c r="AS379" s="5">
        <f t="shared" si="480"/>
        <v>-3.6516212276183066E-12</v>
      </c>
      <c r="AT379" s="5">
        <f t="shared" si="463"/>
        <v>-3.6516212276183074E-12</v>
      </c>
      <c r="AU379" s="5">
        <f t="shared" si="464"/>
        <v>1.3693579603568649E-14</v>
      </c>
      <c r="AV379" s="5">
        <f t="shared" si="481"/>
        <v>-3.6653148072218758E-12</v>
      </c>
      <c r="AW379" s="5">
        <f t="shared" si="482"/>
        <v>-7.3169360348401824E-12</v>
      </c>
      <c r="AX379" s="199"/>
    </row>
    <row r="380" spans="1:50">
      <c r="A380" s="73"/>
      <c r="B380" s="572"/>
      <c r="C380" s="16">
        <f>+C379</f>
        <v>31</v>
      </c>
      <c r="D380" s="17">
        <f>+D379+1</f>
        <v>3</v>
      </c>
      <c r="E380" s="18">
        <f t="shared" ca="1" si="483"/>
        <v>55427</v>
      </c>
      <c r="F380" s="10">
        <f>IF(Dashboard!$Q$5="Float",F379+Dashboard!$R$5/12,F379)</f>
        <v>0.04</v>
      </c>
      <c r="G380" s="14">
        <f t="shared" si="465"/>
        <v>363</v>
      </c>
      <c r="H380" s="5">
        <f t="shared" si="466"/>
        <v>0</v>
      </c>
      <c r="I380" s="5">
        <f t="shared" si="453"/>
        <v>0</v>
      </c>
      <c r="J380" s="5">
        <f t="shared" si="454"/>
        <v>0</v>
      </c>
      <c r="K380" s="5">
        <f t="shared" si="467"/>
        <v>0</v>
      </c>
      <c r="L380" s="5">
        <f t="shared" si="468"/>
        <v>0</v>
      </c>
      <c r="M380" s="199"/>
      <c r="N380" s="16">
        <f t="shared" ca="1" si="469"/>
        <v>18</v>
      </c>
      <c r="O380" s="508">
        <f t="shared" ca="1" si="455"/>
        <v>211</v>
      </c>
      <c r="P380" s="16">
        <f t="shared" ca="1" si="456"/>
        <v>18</v>
      </c>
      <c r="Q380" s="17">
        <f>+Q379+1</f>
        <v>3</v>
      </c>
      <c r="R380" s="18">
        <f t="shared" si="484"/>
        <v>50830</v>
      </c>
      <c r="S380" s="10">
        <f t="shared" si="470"/>
        <v>0.04</v>
      </c>
      <c r="T380" s="14">
        <f t="shared" ca="1" si="471"/>
        <v>176</v>
      </c>
      <c r="U380" s="5">
        <f t="shared" ca="1" si="472"/>
        <v>329205.75217354688</v>
      </c>
      <c r="V380" s="5">
        <f t="shared" ca="1" si="457"/>
        <v>-2387.0764773272972</v>
      </c>
      <c r="W380" s="5">
        <f t="shared" ca="1" si="458"/>
        <v>-1097.3525072451564</v>
      </c>
      <c r="X380" s="5">
        <f t="shared" ca="1" si="473"/>
        <v>-1289.7239700821408</v>
      </c>
      <c r="Y380" s="5">
        <f t="shared" ca="1" si="474"/>
        <v>327916.02820346475</v>
      </c>
      <c r="Z380" s="199"/>
      <c r="AA380" s="16">
        <f t="shared" ca="1" si="462"/>
        <v>31</v>
      </c>
      <c r="AB380" s="508">
        <f t="shared" ca="1" si="459"/>
        <v>362</v>
      </c>
      <c r="AC380" s="16">
        <f>+AC379</f>
        <v>31</v>
      </c>
      <c r="AD380" s="17">
        <f>+AD379+1</f>
        <v>3</v>
      </c>
      <c r="AE380" s="18">
        <f t="shared" ca="1" si="485"/>
        <v>55427</v>
      </c>
      <c r="AF380" s="10">
        <f>IF(Dashboard!$R$24="Float",AF379+Dashboard!$R$24/12,AF379)</f>
        <v>0.06</v>
      </c>
      <c r="AG380" s="14">
        <f t="shared" si="475"/>
        <v>363</v>
      </c>
      <c r="AH380" s="5">
        <f t="shared" si="476"/>
        <v>0</v>
      </c>
      <c r="AI380" s="5">
        <f t="shared" si="460"/>
        <v>0</v>
      </c>
      <c r="AJ380" s="5">
        <f t="shared" si="461"/>
        <v>0</v>
      </c>
      <c r="AK380" s="5">
        <f t="shared" si="477"/>
        <v>0</v>
      </c>
      <c r="AL380" s="5">
        <f t="shared" si="478"/>
        <v>0</v>
      </c>
      <c r="AM380" s="199"/>
      <c r="AN380" s="16">
        <f>+AN379</f>
        <v>32</v>
      </c>
      <c r="AO380" s="17">
        <f>+AO379+1</f>
        <v>3</v>
      </c>
      <c r="AP380" s="18">
        <f t="shared" ca="1" si="486"/>
        <v>55427</v>
      </c>
      <c r="AQ380" s="10">
        <f>IF(Dashboard!$S$20="Float",AQ379+Dashboard!$T$20/12,AQ379)</f>
        <v>4.4999999999999998E-2</v>
      </c>
      <c r="AR380" s="14">
        <f t="shared" si="479"/>
        <v>363</v>
      </c>
      <c r="AS380" s="5">
        <f t="shared" si="480"/>
        <v>-7.3169360348401824E-12</v>
      </c>
      <c r="AT380" s="5">
        <f t="shared" si="463"/>
        <v>-3.6516212276183074E-12</v>
      </c>
      <c r="AU380" s="5">
        <f t="shared" si="464"/>
        <v>2.7438510130650683E-14</v>
      </c>
      <c r="AV380" s="5">
        <f t="shared" si="481"/>
        <v>-3.6790597377489581E-12</v>
      </c>
      <c r="AW380" s="5">
        <f t="shared" si="482"/>
        <v>-1.099599577258914E-11</v>
      </c>
      <c r="AX380" s="199"/>
    </row>
    <row r="381" spans="1:50">
      <c r="A381" s="73"/>
      <c r="B381" s="572"/>
      <c r="C381" s="16">
        <f>+C380</f>
        <v>31</v>
      </c>
      <c r="D381" s="17">
        <f t="shared" ref="D381:D389" si="520">+D380+1</f>
        <v>4</v>
      </c>
      <c r="E381" s="18">
        <f t="shared" ca="1" si="483"/>
        <v>55458</v>
      </c>
      <c r="F381" s="10">
        <f>IF(Dashboard!$Q$5="Float",F380+Dashboard!$R$5/12,F380)</f>
        <v>0.04</v>
      </c>
      <c r="G381" s="14">
        <f t="shared" si="465"/>
        <v>364</v>
      </c>
      <c r="H381" s="5">
        <f t="shared" si="466"/>
        <v>0</v>
      </c>
      <c r="I381" s="5">
        <f t="shared" si="453"/>
        <v>0</v>
      </c>
      <c r="J381" s="5">
        <f t="shared" si="454"/>
        <v>0</v>
      </c>
      <c r="K381" s="5">
        <f t="shared" si="467"/>
        <v>0</v>
      </c>
      <c r="L381" s="5">
        <f t="shared" si="468"/>
        <v>0</v>
      </c>
      <c r="M381" s="199"/>
      <c r="N381" s="16">
        <f t="shared" ca="1" si="469"/>
        <v>18</v>
      </c>
      <c r="O381" s="508">
        <f t="shared" ca="1" si="455"/>
        <v>212</v>
      </c>
      <c r="P381" s="16">
        <f t="shared" ca="1" si="456"/>
        <v>18</v>
      </c>
      <c r="Q381" s="17">
        <f t="shared" ref="Q381:Q389" si="521">+Q380+1</f>
        <v>4</v>
      </c>
      <c r="R381" s="18">
        <f t="shared" si="484"/>
        <v>50861</v>
      </c>
      <c r="S381" s="10">
        <f t="shared" si="470"/>
        <v>0.04</v>
      </c>
      <c r="T381" s="14">
        <f t="shared" ca="1" si="471"/>
        <v>177</v>
      </c>
      <c r="U381" s="5">
        <f t="shared" ca="1" si="472"/>
        <v>327916.02820346475</v>
      </c>
      <c r="V381" s="5">
        <f t="shared" ca="1" si="457"/>
        <v>-2387.0764773272977</v>
      </c>
      <c r="W381" s="5">
        <f t="shared" ca="1" si="458"/>
        <v>-1093.0534273448825</v>
      </c>
      <c r="X381" s="5">
        <f t="shared" ca="1" si="473"/>
        <v>-1294.0230499824152</v>
      </c>
      <c r="Y381" s="5">
        <f t="shared" ca="1" si="474"/>
        <v>326622.00515348231</v>
      </c>
      <c r="Z381" s="199"/>
      <c r="AA381" s="16">
        <f t="shared" ca="1" si="462"/>
        <v>31</v>
      </c>
      <c r="AB381" s="508">
        <f t="shared" ca="1" si="459"/>
        <v>363</v>
      </c>
      <c r="AC381" s="16">
        <f>+AC380</f>
        <v>31</v>
      </c>
      <c r="AD381" s="17">
        <f t="shared" ref="AD381:AD389" si="522">+AD380+1</f>
        <v>4</v>
      </c>
      <c r="AE381" s="18">
        <f t="shared" ca="1" si="485"/>
        <v>55458</v>
      </c>
      <c r="AF381" s="10">
        <f>IF(Dashboard!$R$24="Float",AF380+Dashboard!$R$24/12,AF380)</f>
        <v>0.06</v>
      </c>
      <c r="AG381" s="14">
        <f t="shared" si="475"/>
        <v>364</v>
      </c>
      <c r="AH381" s="5">
        <f t="shared" si="476"/>
        <v>0</v>
      </c>
      <c r="AI381" s="5">
        <f t="shared" si="460"/>
        <v>0</v>
      </c>
      <c r="AJ381" s="5">
        <f t="shared" si="461"/>
        <v>0</v>
      </c>
      <c r="AK381" s="5">
        <f t="shared" si="477"/>
        <v>0</v>
      </c>
      <c r="AL381" s="5">
        <f t="shared" si="478"/>
        <v>0</v>
      </c>
      <c r="AM381" s="199"/>
      <c r="AN381" s="16">
        <f>+AN380</f>
        <v>32</v>
      </c>
      <c r="AO381" s="17">
        <f t="shared" ref="AO381:AO389" si="523">+AO380+1</f>
        <v>4</v>
      </c>
      <c r="AP381" s="18">
        <f t="shared" ca="1" si="486"/>
        <v>55458</v>
      </c>
      <c r="AQ381" s="10">
        <f>IF(Dashboard!$S$20="Float",AQ380+Dashboard!$T$20/12,AQ380)</f>
        <v>4.4999999999999998E-2</v>
      </c>
      <c r="AR381" s="14">
        <f t="shared" si="479"/>
        <v>364</v>
      </c>
      <c r="AS381" s="5">
        <f t="shared" si="480"/>
        <v>-1.099599577258914E-11</v>
      </c>
      <c r="AT381" s="5">
        <f t="shared" si="463"/>
        <v>-3.6516212276183074E-12</v>
      </c>
      <c r="AU381" s="5">
        <f t="shared" si="464"/>
        <v>4.1234984147209274E-14</v>
      </c>
      <c r="AV381" s="5">
        <f t="shared" si="481"/>
        <v>-3.6928562117655164E-12</v>
      </c>
      <c r="AW381" s="5">
        <f t="shared" si="482"/>
        <v>-1.4688851984354657E-11</v>
      </c>
      <c r="AX381" s="199"/>
    </row>
    <row r="382" spans="1:50">
      <c r="A382" s="73"/>
      <c r="B382" s="572"/>
      <c r="C382" s="16">
        <f t="shared" ref="C382:C389" si="524">+C381</f>
        <v>31</v>
      </c>
      <c r="D382" s="17">
        <f t="shared" si="520"/>
        <v>5</v>
      </c>
      <c r="E382" s="18">
        <f t="shared" ca="1" si="483"/>
        <v>55488</v>
      </c>
      <c r="F382" s="10">
        <f>IF(Dashboard!$Q$5="Float",F381+Dashboard!$R$5/12,F381)</f>
        <v>0.04</v>
      </c>
      <c r="G382" s="14">
        <f t="shared" si="465"/>
        <v>365</v>
      </c>
      <c r="H382" s="5">
        <f t="shared" si="466"/>
        <v>0</v>
      </c>
      <c r="I382" s="5">
        <f t="shared" si="453"/>
        <v>0</v>
      </c>
      <c r="J382" s="5">
        <f t="shared" si="454"/>
        <v>0</v>
      </c>
      <c r="K382" s="5">
        <f t="shared" si="467"/>
        <v>0</v>
      </c>
      <c r="L382" s="5">
        <f t="shared" si="468"/>
        <v>0</v>
      </c>
      <c r="M382" s="199"/>
      <c r="N382" s="16">
        <f t="shared" ca="1" si="469"/>
        <v>18</v>
      </c>
      <c r="O382" s="508">
        <f t="shared" ca="1" si="455"/>
        <v>213</v>
      </c>
      <c r="P382" s="16">
        <f t="shared" ca="1" si="456"/>
        <v>18</v>
      </c>
      <c r="Q382" s="17">
        <f t="shared" si="521"/>
        <v>5</v>
      </c>
      <c r="R382" s="18">
        <f t="shared" si="484"/>
        <v>50891</v>
      </c>
      <c r="S382" s="10">
        <f t="shared" si="470"/>
        <v>0.04</v>
      </c>
      <c r="T382" s="14">
        <f t="shared" ca="1" si="471"/>
        <v>178</v>
      </c>
      <c r="U382" s="5">
        <f t="shared" ca="1" si="472"/>
        <v>326622.00515348231</v>
      </c>
      <c r="V382" s="5">
        <f t="shared" ca="1" si="457"/>
        <v>-2387.0764773272977</v>
      </c>
      <c r="W382" s="5">
        <f t="shared" ca="1" si="458"/>
        <v>-1088.7400171782745</v>
      </c>
      <c r="X382" s="5">
        <f t="shared" ca="1" si="473"/>
        <v>-1298.3364601490232</v>
      </c>
      <c r="Y382" s="5">
        <f t="shared" ca="1" si="474"/>
        <v>325323.66869333328</v>
      </c>
      <c r="Z382" s="199"/>
      <c r="AA382" s="16">
        <f t="shared" ca="1" si="462"/>
        <v>31</v>
      </c>
      <c r="AB382" s="508">
        <f t="shared" ca="1" si="459"/>
        <v>364</v>
      </c>
      <c r="AC382" s="16">
        <f t="shared" ref="AC382:AC389" si="525">+AC381</f>
        <v>31</v>
      </c>
      <c r="AD382" s="17">
        <f t="shared" si="522"/>
        <v>5</v>
      </c>
      <c r="AE382" s="18">
        <f t="shared" ca="1" si="485"/>
        <v>55488</v>
      </c>
      <c r="AF382" s="10">
        <f>IF(Dashboard!$R$24="Float",AF381+Dashboard!$R$24/12,AF381)</f>
        <v>0.06</v>
      </c>
      <c r="AG382" s="14">
        <f t="shared" si="475"/>
        <v>365</v>
      </c>
      <c r="AH382" s="5">
        <f t="shared" si="476"/>
        <v>0</v>
      </c>
      <c r="AI382" s="5">
        <f t="shared" si="460"/>
        <v>0</v>
      </c>
      <c r="AJ382" s="5">
        <f t="shared" si="461"/>
        <v>0</v>
      </c>
      <c r="AK382" s="5">
        <f t="shared" si="477"/>
        <v>0</v>
      </c>
      <c r="AL382" s="5">
        <f t="shared" si="478"/>
        <v>0</v>
      </c>
      <c r="AM382" s="199"/>
      <c r="AN382" s="16">
        <f t="shared" ref="AN382:AN389" si="526">+AN381</f>
        <v>32</v>
      </c>
      <c r="AO382" s="17">
        <f t="shared" si="523"/>
        <v>5</v>
      </c>
      <c r="AP382" s="18">
        <f t="shared" ca="1" si="486"/>
        <v>55488</v>
      </c>
      <c r="AQ382" s="10">
        <f>IF(Dashboard!$S$20="Float",AQ381+Dashboard!$T$20/12,AQ381)</f>
        <v>4.4999999999999998E-2</v>
      </c>
      <c r="AR382" s="14">
        <f t="shared" si="479"/>
        <v>365</v>
      </c>
      <c r="AS382" s="5">
        <f t="shared" si="480"/>
        <v>-1.4688851984354657E-11</v>
      </c>
      <c r="AT382" s="5">
        <f t="shared" si="463"/>
        <v>-3.6516212276183074E-12</v>
      </c>
      <c r="AU382" s="5">
        <f t="shared" si="464"/>
        <v>5.5083194941329962E-14</v>
      </c>
      <c r="AV382" s="5">
        <f t="shared" si="481"/>
        <v>-3.7067044225596371E-12</v>
      </c>
      <c r="AW382" s="5">
        <f t="shared" si="482"/>
        <v>-1.8395556406914296E-11</v>
      </c>
      <c r="AX382" s="199"/>
    </row>
    <row r="383" spans="1:50">
      <c r="A383" s="73"/>
      <c r="B383" s="572"/>
      <c r="C383" s="16">
        <f t="shared" si="524"/>
        <v>31</v>
      </c>
      <c r="D383" s="17">
        <f t="shared" si="520"/>
        <v>6</v>
      </c>
      <c r="E383" s="18">
        <f t="shared" ca="1" si="483"/>
        <v>55519</v>
      </c>
      <c r="F383" s="10">
        <f>IF(Dashboard!$Q$5="Float",F382+Dashboard!$R$5/12,F382)</f>
        <v>0.04</v>
      </c>
      <c r="G383" s="14">
        <f t="shared" si="465"/>
        <v>366</v>
      </c>
      <c r="H383" s="5">
        <f t="shared" si="466"/>
        <v>0</v>
      </c>
      <c r="I383" s="5">
        <f t="shared" si="453"/>
        <v>0</v>
      </c>
      <c r="J383" s="5">
        <f t="shared" si="454"/>
        <v>0</v>
      </c>
      <c r="K383" s="5">
        <f t="shared" si="467"/>
        <v>0</v>
      </c>
      <c r="L383" s="5">
        <f t="shared" si="468"/>
        <v>0</v>
      </c>
      <c r="M383" s="199"/>
      <c r="N383" s="16">
        <f t="shared" ca="1" si="469"/>
        <v>18</v>
      </c>
      <c r="O383" s="508">
        <f t="shared" ca="1" si="455"/>
        <v>214</v>
      </c>
      <c r="P383" s="16">
        <f t="shared" ca="1" si="456"/>
        <v>18</v>
      </c>
      <c r="Q383" s="17">
        <f t="shared" si="521"/>
        <v>6</v>
      </c>
      <c r="R383" s="18">
        <f t="shared" si="484"/>
        <v>50922</v>
      </c>
      <c r="S383" s="10">
        <f t="shared" si="470"/>
        <v>0.04</v>
      </c>
      <c r="T383" s="14">
        <f t="shared" ca="1" si="471"/>
        <v>179</v>
      </c>
      <c r="U383" s="5">
        <f t="shared" ca="1" si="472"/>
        <v>325323.66869333328</v>
      </c>
      <c r="V383" s="5">
        <f t="shared" ca="1" si="457"/>
        <v>-2387.0764773272977</v>
      </c>
      <c r="W383" s="5">
        <f t="shared" ca="1" si="458"/>
        <v>-1084.4122289777777</v>
      </c>
      <c r="X383" s="5">
        <f t="shared" ca="1" si="473"/>
        <v>-1302.66424834952</v>
      </c>
      <c r="Y383" s="5">
        <f t="shared" ca="1" si="474"/>
        <v>324021.00444498379</v>
      </c>
      <c r="Z383" s="199"/>
      <c r="AA383" s="16">
        <f t="shared" ca="1" si="462"/>
        <v>31</v>
      </c>
      <c r="AB383" s="508">
        <f t="shared" ca="1" si="459"/>
        <v>365</v>
      </c>
      <c r="AC383" s="16">
        <f t="shared" si="525"/>
        <v>31</v>
      </c>
      <c r="AD383" s="17">
        <f t="shared" si="522"/>
        <v>6</v>
      </c>
      <c r="AE383" s="18">
        <f t="shared" ca="1" si="485"/>
        <v>55519</v>
      </c>
      <c r="AF383" s="10">
        <f>IF(Dashboard!$R$24="Float",AF382+Dashboard!$R$24/12,AF382)</f>
        <v>0.06</v>
      </c>
      <c r="AG383" s="14">
        <f t="shared" si="475"/>
        <v>366</v>
      </c>
      <c r="AH383" s="5">
        <f t="shared" si="476"/>
        <v>0</v>
      </c>
      <c r="AI383" s="5">
        <f t="shared" si="460"/>
        <v>0</v>
      </c>
      <c r="AJ383" s="5">
        <f t="shared" si="461"/>
        <v>0</v>
      </c>
      <c r="AK383" s="5">
        <f t="shared" si="477"/>
        <v>0</v>
      </c>
      <c r="AL383" s="5">
        <f t="shared" si="478"/>
        <v>0</v>
      </c>
      <c r="AM383" s="199"/>
      <c r="AN383" s="16">
        <f t="shared" si="526"/>
        <v>32</v>
      </c>
      <c r="AO383" s="17">
        <f t="shared" si="523"/>
        <v>6</v>
      </c>
      <c r="AP383" s="18">
        <f t="shared" ca="1" si="486"/>
        <v>55519</v>
      </c>
      <c r="AQ383" s="10">
        <f>IF(Dashboard!$S$20="Float",AQ382+Dashboard!$T$20/12,AQ382)</f>
        <v>4.4999999999999998E-2</v>
      </c>
      <c r="AR383" s="14">
        <f t="shared" si="479"/>
        <v>366</v>
      </c>
      <c r="AS383" s="5">
        <f t="shared" si="480"/>
        <v>-1.8395556406914296E-11</v>
      </c>
      <c r="AT383" s="5">
        <f t="shared" si="463"/>
        <v>-3.6516212276183074E-12</v>
      </c>
      <c r="AU383" s="5">
        <f t="shared" si="464"/>
        <v>6.898333652592861E-14</v>
      </c>
      <c r="AV383" s="5">
        <f t="shared" si="481"/>
        <v>-3.7206045641442363E-12</v>
      </c>
      <c r="AW383" s="5">
        <f t="shared" si="482"/>
        <v>-2.2116160971058531E-11</v>
      </c>
      <c r="AX383" s="199"/>
    </row>
    <row r="384" spans="1:50">
      <c r="A384" s="73"/>
      <c r="B384" s="572"/>
      <c r="C384" s="16">
        <f t="shared" si="524"/>
        <v>31</v>
      </c>
      <c r="D384" s="17">
        <f t="shared" si="520"/>
        <v>7</v>
      </c>
      <c r="E384" s="18">
        <f t="shared" ca="1" si="483"/>
        <v>55550</v>
      </c>
      <c r="F384" s="10">
        <f>IF(Dashboard!$Q$5="Float",F383+Dashboard!$R$5/12,F383)</f>
        <v>0.04</v>
      </c>
      <c r="G384" s="14">
        <f t="shared" si="465"/>
        <v>367</v>
      </c>
      <c r="H384" s="5">
        <f t="shared" si="466"/>
        <v>0</v>
      </c>
      <c r="I384" s="5">
        <f t="shared" si="453"/>
        <v>0</v>
      </c>
      <c r="J384" s="5">
        <f t="shared" si="454"/>
        <v>0</v>
      </c>
      <c r="K384" s="5">
        <f t="shared" si="467"/>
        <v>0</v>
      </c>
      <c r="L384" s="5">
        <f t="shared" si="468"/>
        <v>0</v>
      </c>
      <c r="M384" s="199"/>
      <c r="N384" s="16">
        <f t="shared" ca="1" si="469"/>
        <v>18</v>
      </c>
      <c r="O384" s="508">
        <f t="shared" ca="1" si="455"/>
        <v>215</v>
      </c>
      <c r="P384" s="16">
        <f t="shared" ca="1" si="456"/>
        <v>18</v>
      </c>
      <c r="Q384" s="17">
        <f t="shared" si="521"/>
        <v>7</v>
      </c>
      <c r="R384" s="18">
        <f t="shared" si="484"/>
        <v>50952</v>
      </c>
      <c r="S384" s="10">
        <f t="shared" si="470"/>
        <v>0.04</v>
      </c>
      <c r="T384" s="14">
        <f t="shared" ca="1" si="471"/>
        <v>180</v>
      </c>
      <c r="U384" s="5">
        <f t="shared" ca="1" si="472"/>
        <v>324021.00444498379</v>
      </c>
      <c r="V384" s="5">
        <f t="shared" ca="1" si="457"/>
        <v>-2387.0764773272977</v>
      </c>
      <c r="W384" s="5">
        <f t="shared" ca="1" si="458"/>
        <v>-1080.0700148166127</v>
      </c>
      <c r="X384" s="5">
        <f t="shared" ca="1" si="473"/>
        <v>-1307.006462510685</v>
      </c>
      <c r="Y384" s="5">
        <f t="shared" ca="1" si="474"/>
        <v>322713.99798247311</v>
      </c>
      <c r="Z384" s="199"/>
      <c r="AA384" s="16">
        <f t="shared" ca="1" si="462"/>
        <v>31</v>
      </c>
      <c r="AB384" s="508">
        <f t="shared" ca="1" si="459"/>
        <v>366</v>
      </c>
      <c r="AC384" s="16">
        <f t="shared" si="525"/>
        <v>31</v>
      </c>
      <c r="AD384" s="17">
        <f t="shared" si="522"/>
        <v>7</v>
      </c>
      <c r="AE384" s="18">
        <f t="shared" ca="1" si="485"/>
        <v>55550</v>
      </c>
      <c r="AF384" s="10">
        <f>IF(Dashboard!$R$24="Float",AF383+Dashboard!$R$24/12,AF383)</f>
        <v>0.06</v>
      </c>
      <c r="AG384" s="14">
        <f t="shared" si="475"/>
        <v>367</v>
      </c>
      <c r="AH384" s="5">
        <f t="shared" si="476"/>
        <v>0</v>
      </c>
      <c r="AI384" s="5">
        <f t="shared" si="460"/>
        <v>0</v>
      </c>
      <c r="AJ384" s="5">
        <f t="shared" si="461"/>
        <v>0</v>
      </c>
      <c r="AK384" s="5">
        <f t="shared" si="477"/>
        <v>0</v>
      </c>
      <c r="AL384" s="5">
        <f t="shared" si="478"/>
        <v>0</v>
      </c>
      <c r="AM384" s="199"/>
      <c r="AN384" s="16">
        <f t="shared" si="526"/>
        <v>32</v>
      </c>
      <c r="AO384" s="17">
        <f t="shared" si="523"/>
        <v>7</v>
      </c>
      <c r="AP384" s="18">
        <f t="shared" ca="1" si="486"/>
        <v>55550</v>
      </c>
      <c r="AQ384" s="10">
        <f>IF(Dashboard!$S$20="Float",AQ383+Dashboard!$T$20/12,AQ383)</f>
        <v>4.4999999999999998E-2</v>
      </c>
      <c r="AR384" s="14">
        <f t="shared" si="479"/>
        <v>367</v>
      </c>
      <c r="AS384" s="5">
        <f t="shared" si="480"/>
        <v>-2.2116160971058531E-11</v>
      </c>
      <c r="AT384" s="5">
        <f t="shared" si="463"/>
        <v>-3.6516212276183074E-12</v>
      </c>
      <c r="AU384" s="5">
        <f t="shared" si="464"/>
        <v>8.2935603641469478E-14</v>
      </c>
      <c r="AV384" s="5">
        <f t="shared" si="481"/>
        <v>-3.7345568312597765E-12</v>
      </c>
      <c r="AW384" s="5">
        <f t="shared" si="482"/>
        <v>-2.5850717802318307E-11</v>
      </c>
      <c r="AX384" s="199"/>
    </row>
    <row r="385" spans="1:50">
      <c r="A385" s="73"/>
      <c r="B385" s="572"/>
      <c r="C385" s="16">
        <f t="shared" si="524"/>
        <v>31</v>
      </c>
      <c r="D385" s="17">
        <f t="shared" si="520"/>
        <v>8</v>
      </c>
      <c r="E385" s="18">
        <f t="shared" ca="1" si="483"/>
        <v>55579</v>
      </c>
      <c r="F385" s="10">
        <f>IF(Dashboard!$Q$5="Float",F384+Dashboard!$R$5/12,F384)</f>
        <v>0.04</v>
      </c>
      <c r="G385" s="14">
        <f t="shared" si="465"/>
        <v>368</v>
      </c>
      <c r="H385" s="5">
        <f t="shared" si="466"/>
        <v>0</v>
      </c>
      <c r="I385" s="5">
        <f t="shared" si="453"/>
        <v>0</v>
      </c>
      <c r="J385" s="5">
        <f t="shared" si="454"/>
        <v>0</v>
      </c>
      <c r="K385" s="5">
        <f t="shared" si="467"/>
        <v>0</v>
      </c>
      <c r="L385" s="5">
        <f t="shared" si="468"/>
        <v>0</v>
      </c>
      <c r="M385" s="199"/>
      <c r="N385" s="16">
        <f t="shared" ca="1" si="469"/>
        <v>18</v>
      </c>
      <c r="O385" s="508">
        <f t="shared" ca="1" si="455"/>
        <v>216</v>
      </c>
      <c r="P385" s="16">
        <f t="shared" ca="1" si="456"/>
        <v>19</v>
      </c>
      <c r="Q385" s="17">
        <f t="shared" si="521"/>
        <v>8</v>
      </c>
      <c r="R385" s="18">
        <f t="shared" si="484"/>
        <v>50983</v>
      </c>
      <c r="S385" s="10">
        <f t="shared" si="470"/>
        <v>0.04</v>
      </c>
      <c r="T385" s="14">
        <f t="shared" ca="1" si="471"/>
        <v>181</v>
      </c>
      <c r="U385" s="5">
        <f t="shared" ca="1" si="472"/>
        <v>322713.99798247311</v>
      </c>
      <c r="V385" s="5">
        <f t="shared" ca="1" si="457"/>
        <v>-2387.0764773272972</v>
      </c>
      <c r="W385" s="5">
        <f t="shared" ca="1" si="458"/>
        <v>-1075.7133266082437</v>
      </c>
      <c r="X385" s="5">
        <f t="shared" ca="1" si="473"/>
        <v>-1311.3631507190535</v>
      </c>
      <c r="Y385" s="5">
        <f t="shared" ca="1" si="474"/>
        <v>321402.63483175408</v>
      </c>
      <c r="Z385" s="199"/>
      <c r="AA385" s="16">
        <f t="shared" ca="1" si="462"/>
        <v>31</v>
      </c>
      <c r="AB385" s="508">
        <f t="shared" ca="1" si="459"/>
        <v>367</v>
      </c>
      <c r="AC385" s="16">
        <f t="shared" si="525"/>
        <v>31</v>
      </c>
      <c r="AD385" s="17">
        <f t="shared" si="522"/>
        <v>8</v>
      </c>
      <c r="AE385" s="18">
        <f t="shared" ca="1" si="485"/>
        <v>55579</v>
      </c>
      <c r="AF385" s="10">
        <f>IF(Dashboard!$R$24="Float",AF384+Dashboard!$R$24/12,AF384)</f>
        <v>0.06</v>
      </c>
      <c r="AG385" s="14">
        <f t="shared" si="475"/>
        <v>368</v>
      </c>
      <c r="AH385" s="5">
        <f t="shared" si="476"/>
        <v>0</v>
      </c>
      <c r="AI385" s="5">
        <f t="shared" si="460"/>
        <v>0</v>
      </c>
      <c r="AJ385" s="5">
        <f t="shared" si="461"/>
        <v>0</v>
      </c>
      <c r="AK385" s="5">
        <f t="shared" si="477"/>
        <v>0</v>
      </c>
      <c r="AL385" s="5">
        <f t="shared" si="478"/>
        <v>0</v>
      </c>
      <c r="AM385" s="199"/>
      <c r="AN385" s="16">
        <f t="shared" si="526"/>
        <v>32</v>
      </c>
      <c r="AO385" s="17">
        <f t="shared" si="523"/>
        <v>8</v>
      </c>
      <c r="AP385" s="18">
        <f t="shared" ca="1" si="486"/>
        <v>55579</v>
      </c>
      <c r="AQ385" s="10">
        <f>IF(Dashboard!$S$20="Float",AQ384+Dashboard!$T$20/12,AQ384)</f>
        <v>4.4999999999999998E-2</v>
      </c>
      <c r="AR385" s="14">
        <f t="shared" si="479"/>
        <v>368</v>
      </c>
      <c r="AS385" s="5">
        <f t="shared" si="480"/>
        <v>-2.5850717802318307E-11</v>
      </c>
      <c r="AT385" s="5">
        <f t="shared" si="463"/>
        <v>-3.6516212276183074E-12</v>
      </c>
      <c r="AU385" s="5">
        <f t="shared" si="464"/>
        <v>9.6940191758693651E-14</v>
      </c>
      <c r="AV385" s="5">
        <f t="shared" si="481"/>
        <v>-3.7485614193770014E-12</v>
      </c>
      <c r="AW385" s="5">
        <f t="shared" si="482"/>
        <v>-2.959927922169531E-11</v>
      </c>
      <c r="AX385" s="199"/>
    </row>
    <row r="386" spans="1:50">
      <c r="A386" s="73"/>
      <c r="B386" s="572"/>
      <c r="C386" s="16">
        <f t="shared" si="524"/>
        <v>31</v>
      </c>
      <c r="D386" s="17">
        <f t="shared" si="520"/>
        <v>9</v>
      </c>
      <c r="E386" s="18">
        <f t="shared" ca="1" si="483"/>
        <v>55610</v>
      </c>
      <c r="F386" s="10">
        <f>IF(Dashboard!$Q$5="Float",F385+Dashboard!$R$5/12,F385)</f>
        <v>0.04</v>
      </c>
      <c r="G386" s="14">
        <f t="shared" si="465"/>
        <v>369</v>
      </c>
      <c r="H386" s="5">
        <f t="shared" si="466"/>
        <v>0</v>
      </c>
      <c r="I386" s="5">
        <f t="shared" si="453"/>
        <v>0</v>
      </c>
      <c r="J386" s="5">
        <f t="shared" si="454"/>
        <v>0</v>
      </c>
      <c r="K386" s="5">
        <f t="shared" si="467"/>
        <v>0</v>
      </c>
      <c r="L386" s="5">
        <f t="shared" si="468"/>
        <v>0</v>
      </c>
      <c r="M386" s="199"/>
      <c r="N386" s="16">
        <f t="shared" ca="1" si="469"/>
        <v>19</v>
      </c>
      <c r="O386" s="508">
        <f t="shared" ca="1" si="455"/>
        <v>217</v>
      </c>
      <c r="P386" s="16">
        <f t="shared" ca="1" si="456"/>
        <v>19</v>
      </c>
      <c r="Q386" s="17">
        <f t="shared" si="521"/>
        <v>9</v>
      </c>
      <c r="R386" s="18">
        <f t="shared" si="484"/>
        <v>51014</v>
      </c>
      <c r="S386" s="10">
        <f t="shared" si="470"/>
        <v>0.04</v>
      </c>
      <c r="T386" s="14">
        <f t="shared" ca="1" si="471"/>
        <v>182</v>
      </c>
      <c r="U386" s="5">
        <f t="shared" ca="1" si="472"/>
        <v>321402.63483175408</v>
      </c>
      <c r="V386" s="5">
        <f t="shared" ca="1" si="457"/>
        <v>-2387.0764773272981</v>
      </c>
      <c r="W386" s="5">
        <f t="shared" ca="1" si="458"/>
        <v>-1071.342116105847</v>
      </c>
      <c r="X386" s="5">
        <f t="shared" ca="1" si="473"/>
        <v>-1315.7343612214511</v>
      </c>
      <c r="Y386" s="5">
        <f t="shared" ca="1" si="474"/>
        <v>320086.90047053265</v>
      </c>
      <c r="Z386" s="199"/>
      <c r="AA386" s="16">
        <f t="shared" ca="1" si="462"/>
        <v>31</v>
      </c>
      <c r="AB386" s="508">
        <f t="shared" ca="1" si="459"/>
        <v>368</v>
      </c>
      <c r="AC386" s="16">
        <f t="shared" si="525"/>
        <v>31</v>
      </c>
      <c r="AD386" s="17">
        <f t="shared" si="522"/>
        <v>9</v>
      </c>
      <c r="AE386" s="18">
        <f t="shared" ca="1" si="485"/>
        <v>55610</v>
      </c>
      <c r="AF386" s="10">
        <f>IF(Dashboard!$R$24="Float",AF385+Dashboard!$R$24/12,AF385)</f>
        <v>0.06</v>
      </c>
      <c r="AG386" s="14">
        <f t="shared" si="475"/>
        <v>369</v>
      </c>
      <c r="AH386" s="5">
        <f t="shared" si="476"/>
        <v>0</v>
      </c>
      <c r="AI386" s="5">
        <f t="shared" si="460"/>
        <v>0</v>
      </c>
      <c r="AJ386" s="5">
        <f t="shared" si="461"/>
        <v>0</v>
      </c>
      <c r="AK386" s="5">
        <f t="shared" si="477"/>
        <v>0</v>
      </c>
      <c r="AL386" s="5">
        <f t="shared" si="478"/>
        <v>0</v>
      </c>
      <c r="AM386" s="199"/>
      <c r="AN386" s="16">
        <f t="shared" si="526"/>
        <v>32</v>
      </c>
      <c r="AO386" s="17">
        <f t="shared" si="523"/>
        <v>9</v>
      </c>
      <c r="AP386" s="18">
        <f t="shared" ca="1" si="486"/>
        <v>55610</v>
      </c>
      <c r="AQ386" s="10">
        <f>IF(Dashboard!$S$20="Float",AQ385+Dashboard!$T$20/12,AQ385)</f>
        <v>4.4999999999999998E-2</v>
      </c>
      <c r="AR386" s="14">
        <f t="shared" si="479"/>
        <v>369</v>
      </c>
      <c r="AS386" s="5">
        <f t="shared" si="480"/>
        <v>-2.959927922169531E-11</v>
      </c>
      <c r="AT386" s="5">
        <f t="shared" si="463"/>
        <v>-3.6516212276183074E-12</v>
      </c>
      <c r="AU386" s="5">
        <f t="shared" si="464"/>
        <v>1.1099729708135742E-13</v>
      </c>
      <c r="AV386" s="5">
        <f t="shared" si="481"/>
        <v>-3.7626185246996651E-12</v>
      </c>
      <c r="AW386" s="5">
        <f t="shared" si="482"/>
        <v>-3.3361897746394973E-11</v>
      </c>
      <c r="AX386" s="199"/>
    </row>
    <row r="387" spans="1:50">
      <c r="A387" s="73"/>
      <c r="B387" s="572"/>
      <c r="C387" s="16">
        <f t="shared" si="524"/>
        <v>31</v>
      </c>
      <c r="D387" s="17">
        <f t="shared" si="520"/>
        <v>10</v>
      </c>
      <c r="E387" s="18">
        <f t="shared" ca="1" si="483"/>
        <v>55640</v>
      </c>
      <c r="F387" s="10">
        <f>IF(Dashboard!$Q$5="Float",F386+Dashboard!$R$5/12,F386)</f>
        <v>0.04</v>
      </c>
      <c r="G387" s="14">
        <f t="shared" si="465"/>
        <v>370</v>
      </c>
      <c r="H387" s="5">
        <f t="shared" si="466"/>
        <v>0</v>
      </c>
      <c r="I387" s="5">
        <f t="shared" si="453"/>
        <v>0</v>
      </c>
      <c r="J387" s="5">
        <f t="shared" si="454"/>
        <v>0</v>
      </c>
      <c r="K387" s="5">
        <f t="shared" si="467"/>
        <v>0</v>
      </c>
      <c r="L387" s="5">
        <f t="shared" si="468"/>
        <v>0</v>
      </c>
      <c r="M387" s="199"/>
      <c r="N387" s="16">
        <f t="shared" ca="1" si="469"/>
        <v>19</v>
      </c>
      <c r="O387" s="508">
        <f t="shared" ca="1" si="455"/>
        <v>218</v>
      </c>
      <c r="P387" s="16">
        <f t="shared" ca="1" si="456"/>
        <v>19</v>
      </c>
      <c r="Q387" s="17">
        <f t="shared" si="521"/>
        <v>10</v>
      </c>
      <c r="R387" s="18">
        <f t="shared" si="484"/>
        <v>51044</v>
      </c>
      <c r="S387" s="10">
        <f t="shared" si="470"/>
        <v>0.04</v>
      </c>
      <c r="T387" s="14">
        <f t="shared" ca="1" si="471"/>
        <v>183</v>
      </c>
      <c r="U387" s="5">
        <f t="shared" ca="1" si="472"/>
        <v>320086.90047053265</v>
      </c>
      <c r="V387" s="5">
        <f t="shared" ca="1" si="457"/>
        <v>-2387.0764773272986</v>
      </c>
      <c r="W387" s="5">
        <f t="shared" ca="1" si="458"/>
        <v>-1066.9563349017756</v>
      </c>
      <c r="X387" s="5">
        <f t="shared" ca="1" si="473"/>
        <v>-1320.120142425523</v>
      </c>
      <c r="Y387" s="5">
        <f t="shared" ca="1" si="474"/>
        <v>318766.78032810712</v>
      </c>
      <c r="Z387" s="199"/>
      <c r="AA387" s="16">
        <f t="shared" ca="1" si="462"/>
        <v>31</v>
      </c>
      <c r="AB387" s="508">
        <f t="shared" ca="1" si="459"/>
        <v>369</v>
      </c>
      <c r="AC387" s="16">
        <f t="shared" si="525"/>
        <v>31</v>
      </c>
      <c r="AD387" s="17">
        <f t="shared" si="522"/>
        <v>10</v>
      </c>
      <c r="AE387" s="18">
        <f t="shared" ca="1" si="485"/>
        <v>55640</v>
      </c>
      <c r="AF387" s="10">
        <f>IF(Dashboard!$R$24="Float",AF386+Dashboard!$R$24/12,AF386)</f>
        <v>0.06</v>
      </c>
      <c r="AG387" s="14">
        <f t="shared" si="475"/>
        <v>370</v>
      </c>
      <c r="AH387" s="5">
        <f t="shared" si="476"/>
        <v>0</v>
      </c>
      <c r="AI387" s="5">
        <f t="shared" si="460"/>
        <v>0</v>
      </c>
      <c r="AJ387" s="5">
        <f t="shared" si="461"/>
        <v>0</v>
      </c>
      <c r="AK387" s="5">
        <f t="shared" si="477"/>
        <v>0</v>
      </c>
      <c r="AL387" s="5">
        <f t="shared" si="478"/>
        <v>0</v>
      </c>
      <c r="AM387" s="199"/>
      <c r="AN387" s="16">
        <f t="shared" si="526"/>
        <v>32</v>
      </c>
      <c r="AO387" s="17">
        <f t="shared" si="523"/>
        <v>10</v>
      </c>
      <c r="AP387" s="18">
        <f t="shared" ca="1" si="486"/>
        <v>55640</v>
      </c>
      <c r="AQ387" s="10">
        <f>IF(Dashboard!$S$20="Float",AQ386+Dashboard!$T$20/12,AQ386)</f>
        <v>4.4999999999999998E-2</v>
      </c>
      <c r="AR387" s="14">
        <f t="shared" si="479"/>
        <v>370</v>
      </c>
      <c r="AS387" s="5">
        <f t="shared" si="480"/>
        <v>-3.3361897746394973E-11</v>
      </c>
      <c r="AT387" s="5">
        <f t="shared" si="463"/>
        <v>-3.6516212276183074E-12</v>
      </c>
      <c r="AU387" s="5">
        <f t="shared" si="464"/>
        <v>1.2510711654898113E-13</v>
      </c>
      <c r="AV387" s="5">
        <f t="shared" si="481"/>
        <v>-3.7767283441672882E-12</v>
      </c>
      <c r="AW387" s="5">
        <f t="shared" si="482"/>
        <v>-3.7138626090562262E-11</v>
      </c>
      <c r="AX387" s="199"/>
    </row>
    <row r="388" spans="1:50">
      <c r="A388" s="73"/>
      <c r="B388" s="572"/>
      <c r="C388" s="16">
        <f t="shared" si="524"/>
        <v>31</v>
      </c>
      <c r="D388" s="17">
        <f t="shared" si="520"/>
        <v>11</v>
      </c>
      <c r="E388" s="18">
        <f t="shared" ca="1" si="483"/>
        <v>55671</v>
      </c>
      <c r="F388" s="10">
        <f>IF(Dashboard!$Q$5="Float",F387+Dashboard!$R$5/12,F387)</f>
        <v>0.04</v>
      </c>
      <c r="G388" s="14">
        <f t="shared" si="465"/>
        <v>371</v>
      </c>
      <c r="H388" s="5">
        <f t="shared" si="466"/>
        <v>0</v>
      </c>
      <c r="I388" s="5">
        <f t="shared" si="453"/>
        <v>0</v>
      </c>
      <c r="J388" s="5">
        <f t="shared" si="454"/>
        <v>0</v>
      </c>
      <c r="K388" s="5">
        <f t="shared" si="467"/>
        <v>0</v>
      </c>
      <c r="L388" s="5">
        <f t="shared" si="468"/>
        <v>0</v>
      </c>
      <c r="M388" s="199"/>
      <c r="N388" s="16">
        <f t="shared" ca="1" si="469"/>
        <v>19</v>
      </c>
      <c r="O388" s="508">
        <f t="shared" ca="1" si="455"/>
        <v>219</v>
      </c>
      <c r="P388" s="16">
        <f t="shared" ca="1" si="456"/>
        <v>19</v>
      </c>
      <c r="Q388" s="17">
        <f t="shared" si="521"/>
        <v>11</v>
      </c>
      <c r="R388" s="18">
        <f t="shared" si="484"/>
        <v>51075</v>
      </c>
      <c r="S388" s="10">
        <f t="shared" si="470"/>
        <v>0.04</v>
      </c>
      <c r="T388" s="14">
        <f t="shared" ca="1" si="471"/>
        <v>184</v>
      </c>
      <c r="U388" s="5">
        <f t="shared" ca="1" si="472"/>
        <v>318766.78032810712</v>
      </c>
      <c r="V388" s="5">
        <f t="shared" ca="1" si="457"/>
        <v>-2387.0764773272981</v>
      </c>
      <c r="W388" s="5">
        <f t="shared" ca="1" si="458"/>
        <v>-1062.5559344270239</v>
      </c>
      <c r="X388" s="5">
        <f t="shared" ca="1" si="473"/>
        <v>-1324.5205429002742</v>
      </c>
      <c r="Y388" s="5">
        <f t="shared" ca="1" si="474"/>
        <v>317442.25978520687</v>
      </c>
      <c r="Z388" s="199"/>
      <c r="AA388" s="16">
        <f t="shared" ca="1" si="462"/>
        <v>31</v>
      </c>
      <c r="AB388" s="508">
        <f t="shared" ca="1" si="459"/>
        <v>370</v>
      </c>
      <c r="AC388" s="16">
        <f t="shared" si="525"/>
        <v>31</v>
      </c>
      <c r="AD388" s="17">
        <f t="shared" si="522"/>
        <v>11</v>
      </c>
      <c r="AE388" s="18">
        <f t="shared" ca="1" si="485"/>
        <v>55671</v>
      </c>
      <c r="AF388" s="10">
        <f>IF(Dashboard!$R$24="Float",AF387+Dashboard!$R$24/12,AF387)</f>
        <v>0.06</v>
      </c>
      <c r="AG388" s="14">
        <f t="shared" si="475"/>
        <v>371</v>
      </c>
      <c r="AH388" s="5">
        <f t="shared" si="476"/>
        <v>0</v>
      </c>
      <c r="AI388" s="5">
        <f t="shared" si="460"/>
        <v>0</v>
      </c>
      <c r="AJ388" s="5">
        <f t="shared" si="461"/>
        <v>0</v>
      </c>
      <c r="AK388" s="5">
        <f t="shared" si="477"/>
        <v>0</v>
      </c>
      <c r="AL388" s="5">
        <f t="shared" si="478"/>
        <v>0</v>
      </c>
      <c r="AM388" s="199"/>
      <c r="AN388" s="16">
        <f t="shared" si="526"/>
        <v>32</v>
      </c>
      <c r="AO388" s="17">
        <f t="shared" si="523"/>
        <v>11</v>
      </c>
      <c r="AP388" s="18">
        <f t="shared" ca="1" si="486"/>
        <v>55671</v>
      </c>
      <c r="AQ388" s="10">
        <f>IF(Dashboard!$S$20="Float",AQ387+Dashboard!$T$20/12,AQ387)</f>
        <v>4.4999999999999998E-2</v>
      </c>
      <c r="AR388" s="14">
        <f t="shared" si="479"/>
        <v>371</v>
      </c>
      <c r="AS388" s="5">
        <f t="shared" si="480"/>
        <v>-3.7138626090562262E-11</v>
      </c>
      <c r="AT388" s="5">
        <f t="shared" si="463"/>
        <v>-3.6516212276183074E-12</v>
      </c>
      <c r="AU388" s="5">
        <f t="shared" si="464"/>
        <v>1.3926984783960847E-13</v>
      </c>
      <c r="AV388" s="5">
        <f t="shared" si="481"/>
        <v>-3.790891075457916E-12</v>
      </c>
      <c r="AW388" s="5">
        <f t="shared" si="482"/>
        <v>-4.0929517166020177E-11</v>
      </c>
      <c r="AX388" s="199"/>
    </row>
    <row r="389" spans="1:50">
      <c r="A389" s="73"/>
      <c r="B389" s="572"/>
      <c r="C389" s="16">
        <f t="shared" si="524"/>
        <v>31</v>
      </c>
      <c r="D389" s="17">
        <f t="shared" si="520"/>
        <v>12</v>
      </c>
      <c r="E389" s="18">
        <f t="shared" ca="1" si="483"/>
        <v>55701</v>
      </c>
      <c r="F389" s="10">
        <f>IF(Dashboard!$Q$5="Float",F388+Dashboard!$R$5/12,F388)</f>
        <v>0.04</v>
      </c>
      <c r="G389" s="14">
        <f t="shared" si="465"/>
        <v>372</v>
      </c>
      <c r="H389" s="5">
        <f t="shared" si="466"/>
        <v>0</v>
      </c>
      <c r="I389" s="5">
        <f t="shared" si="453"/>
        <v>0</v>
      </c>
      <c r="J389" s="5">
        <f t="shared" si="454"/>
        <v>0</v>
      </c>
      <c r="K389" s="5">
        <f t="shared" si="467"/>
        <v>0</v>
      </c>
      <c r="L389" s="5">
        <f t="shared" si="468"/>
        <v>0</v>
      </c>
      <c r="M389" s="199"/>
      <c r="N389" s="16">
        <f t="shared" ca="1" si="469"/>
        <v>19</v>
      </c>
      <c r="O389" s="508">
        <f t="shared" ca="1" si="455"/>
        <v>220</v>
      </c>
      <c r="P389" s="16">
        <f t="shared" ca="1" si="456"/>
        <v>19</v>
      </c>
      <c r="Q389" s="17">
        <f t="shared" si="521"/>
        <v>12</v>
      </c>
      <c r="R389" s="18">
        <f t="shared" si="484"/>
        <v>51105</v>
      </c>
      <c r="S389" s="10">
        <f t="shared" si="470"/>
        <v>0.04</v>
      </c>
      <c r="T389" s="14">
        <f t="shared" ca="1" si="471"/>
        <v>185</v>
      </c>
      <c r="U389" s="5">
        <f t="shared" ca="1" si="472"/>
        <v>317442.25978520687</v>
      </c>
      <c r="V389" s="5">
        <f t="shared" ca="1" si="457"/>
        <v>-2387.0764773272986</v>
      </c>
      <c r="W389" s="5">
        <f t="shared" ca="1" si="458"/>
        <v>-1058.1408659506897</v>
      </c>
      <c r="X389" s="5">
        <f t="shared" ca="1" si="473"/>
        <v>-1328.9356113766089</v>
      </c>
      <c r="Y389" s="5">
        <f t="shared" ca="1" si="474"/>
        <v>316113.32417383027</v>
      </c>
      <c r="Z389" s="199"/>
      <c r="AA389" s="16">
        <f t="shared" ca="1" si="462"/>
        <v>31</v>
      </c>
      <c r="AB389" s="508">
        <f t="shared" ca="1" si="459"/>
        <v>371</v>
      </c>
      <c r="AC389" s="16">
        <f t="shared" si="525"/>
        <v>31</v>
      </c>
      <c r="AD389" s="17">
        <f t="shared" si="522"/>
        <v>12</v>
      </c>
      <c r="AE389" s="18">
        <f t="shared" ca="1" si="485"/>
        <v>55701</v>
      </c>
      <c r="AF389" s="10">
        <f>IF(Dashboard!$R$24="Float",AF388+Dashboard!$R$24/12,AF388)</f>
        <v>0.06</v>
      </c>
      <c r="AG389" s="14">
        <f t="shared" si="475"/>
        <v>372</v>
      </c>
      <c r="AH389" s="5">
        <f t="shared" si="476"/>
        <v>0</v>
      </c>
      <c r="AI389" s="5">
        <f t="shared" si="460"/>
        <v>0</v>
      </c>
      <c r="AJ389" s="5">
        <f t="shared" si="461"/>
        <v>0</v>
      </c>
      <c r="AK389" s="5">
        <f t="shared" si="477"/>
        <v>0</v>
      </c>
      <c r="AL389" s="5">
        <f t="shared" si="478"/>
        <v>0</v>
      </c>
      <c r="AM389" s="199"/>
      <c r="AN389" s="16">
        <f t="shared" si="526"/>
        <v>32</v>
      </c>
      <c r="AO389" s="17">
        <f t="shared" si="523"/>
        <v>12</v>
      </c>
      <c r="AP389" s="18">
        <f t="shared" ca="1" si="486"/>
        <v>55701</v>
      </c>
      <c r="AQ389" s="10">
        <f>IF(Dashboard!$S$20="Float",AQ388+Dashboard!$T$20/12,AQ388)</f>
        <v>4.4999999999999998E-2</v>
      </c>
      <c r="AR389" s="14">
        <f t="shared" si="479"/>
        <v>372</v>
      </c>
      <c r="AS389" s="5">
        <f t="shared" si="480"/>
        <v>-4.0929517166020177E-11</v>
      </c>
      <c r="AT389" s="5">
        <f t="shared" si="463"/>
        <v>-3.6516212276183074E-12</v>
      </c>
      <c r="AU389" s="5">
        <f t="shared" si="464"/>
        <v>1.5348568937257567E-13</v>
      </c>
      <c r="AV389" s="5">
        <f t="shared" si="481"/>
        <v>-3.8051069169908831E-12</v>
      </c>
      <c r="AW389" s="5">
        <f t="shared" si="482"/>
        <v>-4.4734624083011061E-11</v>
      </c>
      <c r="AX389" s="199"/>
    </row>
    <row r="390" spans="1:50" ht="12.75" customHeight="1">
      <c r="A390" s="73"/>
      <c r="B390" s="570">
        <f>+C390</f>
        <v>32</v>
      </c>
      <c r="C390" s="200">
        <f t="shared" ref="C390" si="527">+C389+1</f>
        <v>32</v>
      </c>
      <c r="D390" s="201">
        <v>1</v>
      </c>
      <c r="E390" s="202">
        <f t="shared" ca="1" si="483"/>
        <v>55732</v>
      </c>
      <c r="F390" s="203">
        <f>IF(Dashboard!$Q$5="Float",F389+Dashboard!$R$5/12,F389)</f>
        <v>0.04</v>
      </c>
      <c r="G390" s="204">
        <f t="shared" si="465"/>
        <v>373</v>
      </c>
      <c r="H390" s="205">
        <f t="shared" si="466"/>
        <v>0</v>
      </c>
      <c r="I390" s="205">
        <f t="shared" si="453"/>
        <v>0</v>
      </c>
      <c r="J390" s="205">
        <f t="shared" si="454"/>
        <v>0</v>
      </c>
      <c r="K390" s="205">
        <f t="shared" si="467"/>
        <v>0</v>
      </c>
      <c r="L390" s="205">
        <f t="shared" si="468"/>
        <v>0</v>
      </c>
      <c r="M390" s="199"/>
      <c r="N390" s="200">
        <f t="shared" ca="1" si="469"/>
        <v>19</v>
      </c>
      <c r="O390" s="509">
        <f t="shared" ca="1" si="455"/>
        <v>221</v>
      </c>
      <c r="P390" s="200">
        <f t="shared" ca="1" si="456"/>
        <v>19</v>
      </c>
      <c r="Q390" s="201">
        <v>1</v>
      </c>
      <c r="R390" s="202">
        <f t="shared" si="484"/>
        <v>51136</v>
      </c>
      <c r="S390" s="203">
        <f t="shared" si="470"/>
        <v>0.04</v>
      </c>
      <c r="T390" s="204">
        <f t="shared" ca="1" si="471"/>
        <v>186</v>
      </c>
      <c r="U390" s="205">
        <f t="shared" ca="1" si="472"/>
        <v>316113.32417383027</v>
      </c>
      <c r="V390" s="205">
        <f t="shared" ca="1" si="457"/>
        <v>-2387.0764773272981</v>
      </c>
      <c r="W390" s="205">
        <f t="shared" ca="1" si="458"/>
        <v>-1053.7110805794343</v>
      </c>
      <c r="X390" s="205">
        <f t="shared" ca="1" si="473"/>
        <v>-1333.3653967478638</v>
      </c>
      <c r="Y390" s="205">
        <f t="shared" ca="1" si="474"/>
        <v>314779.95877708239</v>
      </c>
      <c r="Z390" s="199"/>
      <c r="AA390" s="200">
        <f t="shared" ca="1" si="462"/>
        <v>31</v>
      </c>
      <c r="AB390" s="509">
        <f t="shared" ca="1" si="459"/>
        <v>372</v>
      </c>
      <c r="AC390" s="200">
        <f t="shared" ref="AC390" si="528">+AC389+1</f>
        <v>32</v>
      </c>
      <c r="AD390" s="201">
        <v>1</v>
      </c>
      <c r="AE390" s="202">
        <f t="shared" ca="1" si="485"/>
        <v>55732</v>
      </c>
      <c r="AF390" s="203">
        <f>IF(Dashboard!$R$24="Float",AF389+Dashboard!$R$24/12,AF389)</f>
        <v>0.06</v>
      </c>
      <c r="AG390" s="204">
        <f t="shared" si="475"/>
        <v>373</v>
      </c>
      <c r="AH390" s="205">
        <f t="shared" si="476"/>
        <v>0</v>
      </c>
      <c r="AI390" s="205">
        <f t="shared" si="460"/>
        <v>0</v>
      </c>
      <c r="AJ390" s="205">
        <f t="shared" si="461"/>
        <v>0</v>
      </c>
      <c r="AK390" s="205">
        <f t="shared" si="477"/>
        <v>0</v>
      </c>
      <c r="AL390" s="205">
        <f t="shared" si="478"/>
        <v>0</v>
      </c>
      <c r="AM390" s="199"/>
      <c r="AN390" s="200">
        <f t="shared" ref="AN390" si="529">+AN389+1</f>
        <v>33</v>
      </c>
      <c r="AO390" s="201">
        <v>1</v>
      </c>
      <c r="AP390" s="202">
        <f t="shared" ca="1" si="486"/>
        <v>55732</v>
      </c>
      <c r="AQ390" s="203">
        <f>IF(Dashboard!$S$20="Float",AQ389+Dashboard!$T$20/12,AQ389)</f>
        <v>4.4999999999999998E-2</v>
      </c>
      <c r="AR390" s="204">
        <f t="shared" si="479"/>
        <v>373</v>
      </c>
      <c r="AS390" s="205">
        <f t="shared" si="480"/>
        <v>-4.4734624083011061E-11</v>
      </c>
      <c r="AT390" s="205">
        <f t="shared" si="463"/>
        <v>-3.6516212276183074E-12</v>
      </c>
      <c r="AU390" s="205">
        <f t="shared" si="464"/>
        <v>1.6775484031129148E-13</v>
      </c>
      <c r="AV390" s="205">
        <f t="shared" si="481"/>
        <v>-3.819376067929599E-12</v>
      </c>
      <c r="AW390" s="205">
        <f t="shared" si="482"/>
        <v>-4.855400015094066E-11</v>
      </c>
      <c r="AX390" s="199"/>
    </row>
    <row r="391" spans="1:50">
      <c r="A391" s="73"/>
      <c r="B391" s="570"/>
      <c r="C391" s="200">
        <f>+C390</f>
        <v>32</v>
      </c>
      <c r="D391" s="201">
        <f>+D390+1</f>
        <v>2</v>
      </c>
      <c r="E391" s="202">
        <f t="shared" ca="1" si="483"/>
        <v>55763</v>
      </c>
      <c r="F391" s="203">
        <f>IF(Dashboard!$Q$5="Float",F390+Dashboard!$R$5/12,F390)</f>
        <v>0.04</v>
      </c>
      <c r="G391" s="204">
        <f t="shared" si="465"/>
        <v>374</v>
      </c>
      <c r="H391" s="205">
        <f t="shared" si="466"/>
        <v>0</v>
      </c>
      <c r="I391" s="205">
        <f t="shared" si="453"/>
        <v>0</v>
      </c>
      <c r="J391" s="205">
        <f t="shared" si="454"/>
        <v>0</v>
      </c>
      <c r="K391" s="205">
        <f t="shared" si="467"/>
        <v>0</v>
      </c>
      <c r="L391" s="205">
        <f t="shared" si="468"/>
        <v>0</v>
      </c>
      <c r="M391" s="199"/>
      <c r="N391" s="200">
        <f t="shared" ca="1" si="469"/>
        <v>19</v>
      </c>
      <c r="O391" s="509">
        <f t="shared" ca="1" si="455"/>
        <v>222</v>
      </c>
      <c r="P391" s="200">
        <f t="shared" ca="1" si="456"/>
        <v>19</v>
      </c>
      <c r="Q391" s="201">
        <f>+Q390+1</f>
        <v>2</v>
      </c>
      <c r="R391" s="202">
        <f t="shared" si="484"/>
        <v>51167</v>
      </c>
      <c r="S391" s="203">
        <f t="shared" si="470"/>
        <v>0.04</v>
      </c>
      <c r="T391" s="204">
        <f t="shared" ca="1" si="471"/>
        <v>187</v>
      </c>
      <c r="U391" s="205">
        <f t="shared" ca="1" si="472"/>
        <v>314779.95877708239</v>
      </c>
      <c r="V391" s="205">
        <f t="shared" ca="1" si="457"/>
        <v>-2387.0764773272981</v>
      </c>
      <c r="W391" s="205">
        <f t="shared" ca="1" si="458"/>
        <v>-1049.2665292569413</v>
      </c>
      <c r="X391" s="205">
        <f t="shared" ca="1" si="473"/>
        <v>-1337.8099480703568</v>
      </c>
      <c r="Y391" s="205">
        <f t="shared" ca="1" si="474"/>
        <v>313442.148829012</v>
      </c>
      <c r="Z391" s="199"/>
      <c r="AA391" s="200">
        <f t="shared" ca="1" si="462"/>
        <v>32</v>
      </c>
      <c r="AB391" s="509">
        <f t="shared" ca="1" si="459"/>
        <v>373</v>
      </c>
      <c r="AC391" s="200">
        <f>+AC390</f>
        <v>32</v>
      </c>
      <c r="AD391" s="201">
        <f>+AD390+1</f>
        <v>2</v>
      </c>
      <c r="AE391" s="202">
        <f t="shared" ca="1" si="485"/>
        <v>55763</v>
      </c>
      <c r="AF391" s="203">
        <f>IF(Dashboard!$R$24="Float",AF390+Dashboard!$R$24/12,AF390)</f>
        <v>0.06</v>
      </c>
      <c r="AG391" s="204">
        <f t="shared" si="475"/>
        <v>374</v>
      </c>
      <c r="AH391" s="205">
        <f t="shared" si="476"/>
        <v>0</v>
      </c>
      <c r="AI391" s="205">
        <f t="shared" si="460"/>
        <v>0</v>
      </c>
      <c r="AJ391" s="205">
        <f t="shared" si="461"/>
        <v>0</v>
      </c>
      <c r="AK391" s="205">
        <f t="shared" si="477"/>
        <v>0</v>
      </c>
      <c r="AL391" s="205">
        <f t="shared" si="478"/>
        <v>0</v>
      </c>
      <c r="AM391" s="199"/>
      <c r="AN391" s="200">
        <f>+AN390</f>
        <v>33</v>
      </c>
      <c r="AO391" s="201">
        <f>+AO390+1</f>
        <v>2</v>
      </c>
      <c r="AP391" s="202">
        <f t="shared" ca="1" si="486"/>
        <v>55763</v>
      </c>
      <c r="AQ391" s="203">
        <f>IF(Dashboard!$S$20="Float",AQ390+Dashboard!$T$20/12,AQ390)</f>
        <v>4.4999999999999998E-2</v>
      </c>
      <c r="AR391" s="204">
        <f t="shared" si="479"/>
        <v>374</v>
      </c>
      <c r="AS391" s="205">
        <f t="shared" si="480"/>
        <v>-4.855400015094066E-11</v>
      </c>
      <c r="AT391" s="205">
        <f t="shared" si="463"/>
        <v>-3.6516212276183074E-12</v>
      </c>
      <c r="AU391" s="205">
        <f t="shared" si="464"/>
        <v>1.8207750056602745E-13</v>
      </c>
      <c r="AV391" s="205">
        <f t="shared" si="481"/>
        <v>-3.8336987281843349E-12</v>
      </c>
      <c r="AW391" s="205">
        <f t="shared" si="482"/>
        <v>-5.2387698879124998E-11</v>
      </c>
      <c r="AX391" s="199"/>
    </row>
    <row r="392" spans="1:50">
      <c r="A392" s="73"/>
      <c r="B392" s="570"/>
      <c r="C392" s="200">
        <f>+C391</f>
        <v>32</v>
      </c>
      <c r="D392" s="201">
        <f>+D391+1</f>
        <v>3</v>
      </c>
      <c r="E392" s="202">
        <f t="shared" ca="1" si="483"/>
        <v>55793</v>
      </c>
      <c r="F392" s="203">
        <f>IF(Dashboard!$Q$5="Float",F391+Dashboard!$R$5/12,F391)</f>
        <v>0.04</v>
      </c>
      <c r="G392" s="204">
        <f t="shared" si="465"/>
        <v>375</v>
      </c>
      <c r="H392" s="205">
        <f t="shared" si="466"/>
        <v>0</v>
      </c>
      <c r="I392" s="205">
        <f t="shared" si="453"/>
        <v>0</v>
      </c>
      <c r="J392" s="205">
        <f t="shared" si="454"/>
        <v>0</v>
      </c>
      <c r="K392" s="205">
        <f t="shared" si="467"/>
        <v>0</v>
      </c>
      <c r="L392" s="205">
        <f t="shared" si="468"/>
        <v>0</v>
      </c>
      <c r="M392" s="199"/>
      <c r="N392" s="200">
        <f t="shared" ca="1" si="469"/>
        <v>19</v>
      </c>
      <c r="O392" s="509">
        <f t="shared" ca="1" si="455"/>
        <v>223</v>
      </c>
      <c r="P392" s="200">
        <f t="shared" ca="1" si="456"/>
        <v>19</v>
      </c>
      <c r="Q392" s="201">
        <f>+Q391+1</f>
        <v>3</v>
      </c>
      <c r="R392" s="202">
        <f t="shared" si="484"/>
        <v>51196</v>
      </c>
      <c r="S392" s="203">
        <f t="shared" si="470"/>
        <v>0.04</v>
      </c>
      <c r="T392" s="204">
        <f t="shared" ca="1" si="471"/>
        <v>188</v>
      </c>
      <c r="U392" s="205">
        <f t="shared" ca="1" si="472"/>
        <v>313442.148829012</v>
      </c>
      <c r="V392" s="205">
        <f t="shared" ca="1" si="457"/>
        <v>-2387.0764773272972</v>
      </c>
      <c r="W392" s="205">
        <f t="shared" ca="1" si="458"/>
        <v>-1044.8071627633733</v>
      </c>
      <c r="X392" s="205">
        <f t="shared" ca="1" si="473"/>
        <v>-1342.2693145639239</v>
      </c>
      <c r="Y392" s="205">
        <f t="shared" ca="1" si="474"/>
        <v>312099.87951444805</v>
      </c>
      <c r="Z392" s="199"/>
      <c r="AA392" s="200">
        <f t="shared" ca="1" si="462"/>
        <v>32</v>
      </c>
      <c r="AB392" s="509">
        <f t="shared" ca="1" si="459"/>
        <v>374</v>
      </c>
      <c r="AC392" s="200">
        <f>+AC391</f>
        <v>32</v>
      </c>
      <c r="AD392" s="201">
        <f>+AD391+1</f>
        <v>3</v>
      </c>
      <c r="AE392" s="202">
        <f t="shared" ca="1" si="485"/>
        <v>55793</v>
      </c>
      <c r="AF392" s="203">
        <f>IF(Dashboard!$R$24="Float",AF391+Dashboard!$R$24/12,AF391)</f>
        <v>0.06</v>
      </c>
      <c r="AG392" s="204">
        <f t="shared" si="475"/>
        <v>375</v>
      </c>
      <c r="AH392" s="205">
        <f t="shared" si="476"/>
        <v>0</v>
      </c>
      <c r="AI392" s="205">
        <f t="shared" si="460"/>
        <v>0</v>
      </c>
      <c r="AJ392" s="205">
        <f t="shared" si="461"/>
        <v>0</v>
      </c>
      <c r="AK392" s="205">
        <f t="shared" si="477"/>
        <v>0</v>
      </c>
      <c r="AL392" s="205">
        <f t="shared" si="478"/>
        <v>0</v>
      </c>
      <c r="AM392" s="199"/>
      <c r="AN392" s="200">
        <f>+AN391</f>
        <v>33</v>
      </c>
      <c r="AO392" s="201">
        <f>+AO391+1</f>
        <v>3</v>
      </c>
      <c r="AP392" s="202">
        <f t="shared" ca="1" si="486"/>
        <v>55793</v>
      </c>
      <c r="AQ392" s="203">
        <f>IF(Dashboard!$S$20="Float",AQ391+Dashboard!$T$20/12,AQ391)</f>
        <v>4.4999999999999998E-2</v>
      </c>
      <c r="AR392" s="204">
        <f t="shared" si="479"/>
        <v>375</v>
      </c>
      <c r="AS392" s="205">
        <f t="shared" si="480"/>
        <v>-5.2387698879124998E-11</v>
      </c>
      <c r="AT392" s="205">
        <f t="shared" si="463"/>
        <v>-3.6516212276183074E-12</v>
      </c>
      <c r="AU392" s="205">
        <f t="shared" si="464"/>
        <v>1.9645387079671873E-13</v>
      </c>
      <c r="AV392" s="205">
        <f t="shared" si="481"/>
        <v>-3.8480750984150261E-12</v>
      </c>
      <c r="AW392" s="205">
        <f t="shared" si="482"/>
        <v>-5.6235773977540025E-11</v>
      </c>
      <c r="AX392" s="199"/>
    </row>
    <row r="393" spans="1:50">
      <c r="A393" s="73"/>
      <c r="B393" s="570"/>
      <c r="C393" s="200">
        <f>+C392</f>
        <v>32</v>
      </c>
      <c r="D393" s="201">
        <f t="shared" ref="D393:D401" si="530">+D392+1</f>
        <v>4</v>
      </c>
      <c r="E393" s="202">
        <f t="shared" ca="1" si="483"/>
        <v>55824</v>
      </c>
      <c r="F393" s="203">
        <f>IF(Dashboard!$Q$5="Float",F392+Dashboard!$R$5/12,F392)</f>
        <v>0.04</v>
      </c>
      <c r="G393" s="204">
        <f t="shared" si="465"/>
        <v>376</v>
      </c>
      <c r="H393" s="205">
        <f t="shared" si="466"/>
        <v>0</v>
      </c>
      <c r="I393" s="205">
        <f t="shared" si="453"/>
        <v>0</v>
      </c>
      <c r="J393" s="205">
        <f t="shared" si="454"/>
        <v>0</v>
      </c>
      <c r="K393" s="205">
        <f t="shared" si="467"/>
        <v>0</v>
      </c>
      <c r="L393" s="205">
        <f t="shared" si="468"/>
        <v>0</v>
      </c>
      <c r="M393" s="199"/>
      <c r="N393" s="200">
        <f t="shared" ca="1" si="469"/>
        <v>19</v>
      </c>
      <c r="O393" s="509">
        <f t="shared" ca="1" si="455"/>
        <v>224</v>
      </c>
      <c r="P393" s="200">
        <f t="shared" ca="1" si="456"/>
        <v>19</v>
      </c>
      <c r="Q393" s="201">
        <f t="shared" ref="Q393:Q401" si="531">+Q392+1</f>
        <v>4</v>
      </c>
      <c r="R393" s="202">
        <f t="shared" si="484"/>
        <v>51227</v>
      </c>
      <c r="S393" s="203">
        <f t="shared" si="470"/>
        <v>0.04</v>
      </c>
      <c r="T393" s="204">
        <f t="shared" ca="1" si="471"/>
        <v>189</v>
      </c>
      <c r="U393" s="205">
        <f t="shared" ca="1" si="472"/>
        <v>312099.87951444805</v>
      </c>
      <c r="V393" s="205">
        <f t="shared" ca="1" si="457"/>
        <v>-2387.0764773272981</v>
      </c>
      <c r="W393" s="205">
        <f t="shared" ca="1" si="458"/>
        <v>-1040.3329317148268</v>
      </c>
      <c r="X393" s="205">
        <f t="shared" ca="1" si="473"/>
        <v>-1346.7435456124713</v>
      </c>
      <c r="Y393" s="205">
        <f t="shared" ca="1" si="474"/>
        <v>310753.13596883556</v>
      </c>
      <c r="Z393" s="199"/>
      <c r="AA393" s="200">
        <f t="shared" ca="1" si="462"/>
        <v>32</v>
      </c>
      <c r="AB393" s="509">
        <f t="shared" ca="1" si="459"/>
        <v>375</v>
      </c>
      <c r="AC393" s="200">
        <f>+AC392</f>
        <v>32</v>
      </c>
      <c r="AD393" s="201">
        <f t="shared" ref="AD393:AD401" si="532">+AD392+1</f>
        <v>4</v>
      </c>
      <c r="AE393" s="202">
        <f t="shared" ca="1" si="485"/>
        <v>55824</v>
      </c>
      <c r="AF393" s="203">
        <f>IF(Dashboard!$R$24="Float",AF392+Dashboard!$R$24/12,AF392)</f>
        <v>0.06</v>
      </c>
      <c r="AG393" s="204">
        <f t="shared" si="475"/>
        <v>376</v>
      </c>
      <c r="AH393" s="205">
        <f t="shared" si="476"/>
        <v>0</v>
      </c>
      <c r="AI393" s="205">
        <f t="shared" si="460"/>
        <v>0</v>
      </c>
      <c r="AJ393" s="205">
        <f t="shared" si="461"/>
        <v>0</v>
      </c>
      <c r="AK393" s="205">
        <f t="shared" si="477"/>
        <v>0</v>
      </c>
      <c r="AL393" s="205">
        <f t="shared" si="478"/>
        <v>0</v>
      </c>
      <c r="AM393" s="199"/>
      <c r="AN393" s="200">
        <f>+AN392</f>
        <v>33</v>
      </c>
      <c r="AO393" s="201">
        <f t="shared" ref="AO393:AO401" si="533">+AO392+1</f>
        <v>4</v>
      </c>
      <c r="AP393" s="202">
        <f t="shared" ca="1" si="486"/>
        <v>55824</v>
      </c>
      <c r="AQ393" s="203">
        <f>IF(Dashboard!$S$20="Float",AQ392+Dashboard!$T$20/12,AQ392)</f>
        <v>4.4999999999999998E-2</v>
      </c>
      <c r="AR393" s="204">
        <f t="shared" si="479"/>
        <v>376</v>
      </c>
      <c r="AS393" s="205">
        <f t="shared" si="480"/>
        <v>-5.6235773977540025E-11</v>
      </c>
      <c r="AT393" s="205">
        <f t="shared" si="463"/>
        <v>-3.6516212276183074E-12</v>
      </c>
      <c r="AU393" s="205">
        <f t="shared" si="464"/>
        <v>2.108841524157751E-13</v>
      </c>
      <c r="AV393" s="205">
        <f t="shared" si="481"/>
        <v>-3.8625053800340827E-12</v>
      </c>
      <c r="AW393" s="205">
        <f t="shared" si="482"/>
        <v>-6.0098279357574113E-11</v>
      </c>
      <c r="AX393" s="199"/>
    </row>
    <row r="394" spans="1:50">
      <c r="A394" s="73"/>
      <c r="B394" s="570"/>
      <c r="C394" s="200">
        <f t="shared" ref="C394:C401" si="534">+C393</f>
        <v>32</v>
      </c>
      <c r="D394" s="201">
        <f t="shared" si="530"/>
        <v>5</v>
      </c>
      <c r="E394" s="202">
        <f t="shared" ca="1" si="483"/>
        <v>55854</v>
      </c>
      <c r="F394" s="203">
        <f>IF(Dashboard!$Q$5="Float",F393+Dashboard!$R$5/12,F393)</f>
        <v>0.04</v>
      </c>
      <c r="G394" s="204">
        <f t="shared" si="465"/>
        <v>377</v>
      </c>
      <c r="H394" s="205">
        <f t="shared" si="466"/>
        <v>0</v>
      </c>
      <c r="I394" s="205">
        <f t="shared" si="453"/>
        <v>0</v>
      </c>
      <c r="J394" s="205">
        <f t="shared" si="454"/>
        <v>0</v>
      </c>
      <c r="K394" s="205">
        <f t="shared" si="467"/>
        <v>0</v>
      </c>
      <c r="L394" s="205">
        <f t="shared" si="468"/>
        <v>0</v>
      </c>
      <c r="M394" s="199"/>
      <c r="N394" s="200">
        <f t="shared" ca="1" si="469"/>
        <v>19</v>
      </c>
      <c r="O394" s="509">
        <f t="shared" ca="1" si="455"/>
        <v>225</v>
      </c>
      <c r="P394" s="200">
        <f t="shared" ca="1" si="456"/>
        <v>19</v>
      </c>
      <c r="Q394" s="201">
        <f t="shared" si="531"/>
        <v>5</v>
      </c>
      <c r="R394" s="202">
        <f t="shared" si="484"/>
        <v>51257</v>
      </c>
      <c r="S394" s="203">
        <f t="shared" si="470"/>
        <v>0.04</v>
      </c>
      <c r="T394" s="204">
        <f t="shared" ca="1" si="471"/>
        <v>190</v>
      </c>
      <c r="U394" s="205">
        <f t="shared" ca="1" si="472"/>
        <v>310753.13596883556</v>
      </c>
      <c r="V394" s="205">
        <f t="shared" ca="1" si="457"/>
        <v>-2387.0764773272977</v>
      </c>
      <c r="W394" s="205">
        <f t="shared" ca="1" si="458"/>
        <v>-1035.8437865627852</v>
      </c>
      <c r="X394" s="205">
        <f t="shared" ca="1" si="473"/>
        <v>-1351.2326907645124</v>
      </c>
      <c r="Y394" s="205">
        <f t="shared" ca="1" si="474"/>
        <v>309401.90327807103</v>
      </c>
      <c r="Z394" s="199"/>
      <c r="AA394" s="200">
        <f t="shared" ca="1" si="462"/>
        <v>32</v>
      </c>
      <c r="AB394" s="509">
        <f t="shared" ca="1" si="459"/>
        <v>376</v>
      </c>
      <c r="AC394" s="200">
        <f t="shared" ref="AC394:AC401" si="535">+AC393</f>
        <v>32</v>
      </c>
      <c r="AD394" s="201">
        <f t="shared" si="532"/>
        <v>5</v>
      </c>
      <c r="AE394" s="202">
        <f t="shared" ca="1" si="485"/>
        <v>55854</v>
      </c>
      <c r="AF394" s="203">
        <f>IF(Dashboard!$R$24="Float",AF393+Dashboard!$R$24/12,AF393)</f>
        <v>0.06</v>
      </c>
      <c r="AG394" s="204">
        <f t="shared" si="475"/>
        <v>377</v>
      </c>
      <c r="AH394" s="205">
        <f t="shared" si="476"/>
        <v>0</v>
      </c>
      <c r="AI394" s="205">
        <f t="shared" si="460"/>
        <v>0</v>
      </c>
      <c r="AJ394" s="205">
        <f t="shared" si="461"/>
        <v>0</v>
      </c>
      <c r="AK394" s="205">
        <f t="shared" si="477"/>
        <v>0</v>
      </c>
      <c r="AL394" s="205">
        <f t="shared" si="478"/>
        <v>0</v>
      </c>
      <c r="AM394" s="199"/>
      <c r="AN394" s="200">
        <f t="shared" ref="AN394:AN401" si="536">+AN393</f>
        <v>33</v>
      </c>
      <c r="AO394" s="201">
        <f t="shared" si="533"/>
        <v>5</v>
      </c>
      <c r="AP394" s="202">
        <f t="shared" ca="1" si="486"/>
        <v>55854</v>
      </c>
      <c r="AQ394" s="203">
        <f>IF(Dashboard!$S$20="Float",AQ393+Dashboard!$T$20/12,AQ393)</f>
        <v>4.4999999999999998E-2</v>
      </c>
      <c r="AR394" s="204">
        <f t="shared" si="479"/>
        <v>377</v>
      </c>
      <c r="AS394" s="205">
        <f t="shared" si="480"/>
        <v>-6.0098279357574113E-11</v>
      </c>
      <c r="AT394" s="205">
        <f t="shared" si="463"/>
        <v>-3.6516212276183082E-12</v>
      </c>
      <c r="AU394" s="205">
        <f t="shared" si="464"/>
        <v>2.2536854759090293E-13</v>
      </c>
      <c r="AV394" s="205">
        <f t="shared" si="481"/>
        <v>-3.8769897752092108E-12</v>
      </c>
      <c r="AW394" s="205">
        <f t="shared" si="482"/>
        <v>-6.3975269132783321E-11</v>
      </c>
      <c r="AX394" s="199"/>
    </row>
    <row r="395" spans="1:50">
      <c r="A395" s="73"/>
      <c r="B395" s="570"/>
      <c r="C395" s="200">
        <f t="shared" si="534"/>
        <v>32</v>
      </c>
      <c r="D395" s="201">
        <f t="shared" si="530"/>
        <v>6</v>
      </c>
      <c r="E395" s="202">
        <f t="shared" ca="1" si="483"/>
        <v>55885</v>
      </c>
      <c r="F395" s="203">
        <f>IF(Dashboard!$Q$5="Float",F394+Dashboard!$R$5/12,F394)</f>
        <v>0.04</v>
      </c>
      <c r="G395" s="204">
        <f t="shared" si="465"/>
        <v>378</v>
      </c>
      <c r="H395" s="205">
        <f t="shared" si="466"/>
        <v>0</v>
      </c>
      <c r="I395" s="205">
        <f t="shared" si="453"/>
        <v>0</v>
      </c>
      <c r="J395" s="205">
        <f t="shared" si="454"/>
        <v>0</v>
      </c>
      <c r="K395" s="205">
        <f t="shared" si="467"/>
        <v>0</v>
      </c>
      <c r="L395" s="205">
        <f t="shared" si="468"/>
        <v>0</v>
      </c>
      <c r="M395" s="199"/>
      <c r="N395" s="200">
        <f t="shared" ca="1" si="469"/>
        <v>19</v>
      </c>
      <c r="O395" s="509">
        <f t="shared" ca="1" si="455"/>
        <v>226</v>
      </c>
      <c r="P395" s="200">
        <f t="shared" ca="1" si="456"/>
        <v>19</v>
      </c>
      <c r="Q395" s="201">
        <f t="shared" si="531"/>
        <v>6</v>
      </c>
      <c r="R395" s="202">
        <f t="shared" si="484"/>
        <v>51288</v>
      </c>
      <c r="S395" s="203">
        <f t="shared" si="470"/>
        <v>0.04</v>
      </c>
      <c r="T395" s="204">
        <f t="shared" ca="1" si="471"/>
        <v>191</v>
      </c>
      <c r="U395" s="205">
        <f t="shared" ca="1" si="472"/>
        <v>309401.90327807103</v>
      </c>
      <c r="V395" s="205">
        <f t="shared" ca="1" si="457"/>
        <v>-2387.0764773272972</v>
      </c>
      <c r="W395" s="205">
        <f t="shared" ca="1" si="458"/>
        <v>-1031.3396775935701</v>
      </c>
      <c r="X395" s="205">
        <f t="shared" ca="1" si="473"/>
        <v>-1355.7367997337271</v>
      </c>
      <c r="Y395" s="205">
        <f t="shared" ca="1" si="474"/>
        <v>308046.16647833731</v>
      </c>
      <c r="Z395" s="199"/>
      <c r="AA395" s="200">
        <f t="shared" ca="1" si="462"/>
        <v>32</v>
      </c>
      <c r="AB395" s="509">
        <f t="shared" ca="1" si="459"/>
        <v>377</v>
      </c>
      <c r="AC395" s="200">
        <f t="shared" si="535"/>
        <v>32</v>
      </c>
      <c r="AD395" s="201">
        <f t="shared" si="532"/>
        <v>6</v>
      </c>
      <c r="AE395" s="202">
        <f t="shared" ca="1" si="485"/>
        <v>55885</v>
      </c>
      <c r="AF395" s="203">
        <f>IF(Dashboard!$R$24="Float",AF394+Dashboard!$R$24/12,AF394)</f>
        <v>0.06</v>
      </c>
      <c r="AG395" s="204">
        <f t="shared" si="475"/>
        <v>378</v>
      </c>
      <c r="AH395" s="205">
        <f t="shared" si="476"/>
        <v>0</v>
      </c>
      <c r="AI395" s="205">
        <f t="shared" si="460"/>
        <v>0</v>
      </c>
      <c r="AJ395" s="205">
        <f t="shared" si="461"/>
        <v>0</v>
      </c>
      <c r="AK395" s="205">
        <f t="shared" si="477"/>
        <v>0</v>
      </c>
      <c r="AL395" s="205">
        <f t="shared" si="478"/>
        <v>0</v>
      </c>
      <c r="AM395" s="199"/>
      <c r="AN395" s="200">
        <f t="shared" si="536"/>
        <v>33</v>
      </c>
      <c r="AO395" s="201">
        <f t="shared" si="533"/>
        <v>6</v>
      </c>
      <c r="AP395" s="202">
        <f t="shared" ca="1" si="486"/>
        <v>55885</v>
      </c>
      <c r="AQ395" s="203">
        <f>IF(Dashboard!$S$20="Float",AQ394+Dashboard!$T$20/12,AQ394)</f>
        <v>4.4999999999999998E-2</v>
      </c>
      <c r="AR395" s="204">
        <f t="shared" si="479"/>
        <v>378</v>
      </c>
      <c r="AS395" s="205">
        <f t="shared" si="480"/>
        <v>-6.3975269132783321E-11</v>
      </c>
      <c r="AT395" s="205">
        <f t="shared" si="463"/>
        <v>-3.6516212276183074E-12</v>
      </c>
      <c r="AU395" s="205">
        <f t="shared" si="464"/>
        <v>2.3990725924793742E-13</v>
      </c>
      <c r="AV395" s="205">
        <f t="shared" si="481"/>
        <v>-3.8915284868662452E-12</v>
      </c>
      <c r="AW395" s="205">
        <f t="shared" si="482"/>
        <v>-6.7866797619649566E-11</v>
      </c>
      <c r="AX395" s="199"/>
    </row>
    <row r="396" spans="1:50">
      <c r="A396" s="73"/>
      <c r="B396" s="570"/>
      <c r="C396" s="200">
        <f t="shared" si="534"/>
        <v>32</v>
      </c>
      <c r="D396" s="201">
        <f t="shared" si="530"/>
        <v>7</v>
      </c>
      <c r="E396" s="202">
        <f t="shared" ca="1" si="483"/>
        <v>55916</v>
      </c>
      <c r="F396" s="203">
        <f>IF(Dashboard!$Q$5="Float",F395+Dashboard!$R$5/12,F395)</f>
        <v>0.04</v>
      </c>
      <c r="G396" s="204">
        <f t="shared" si="465"/>
        <v>379</v>
      </c>
      <c r="H396" s="205">
        <f t="shared" si="466"/>
        <v>0</v>
      </c>
      <c r="I396" s="205">
        <f t="shared" si="453"/>
        <v>0</v>
      </c>
      <c r="J396" s="205">
        <f t="shared" si="454"/>
        <v>0</v>
      </c>
      <c r="K396" s="205">
        <f t="shared" si="467"/>
        <v>0</v>
      </c>
      <c r="L396" s="205">
        <f t="shared" si="468"/>
        <v>0</v>
      </c>
      <c r="M396" s="199"/>
      <c r="N396" s="200">
        <f t="shared" ca="1" si="469"/>
        <v>19</v>
      </c>
      <c r="O396" s="509">
        <f t="shared" ca="1" si="455"/>
        <v>227</v>
      </c>
      <c r="P396" s="200">
        <f t="shared" ca="1" si="456"/>
        <v>19</v>
      </c>
      <c r="Q396" s="201">
        <f t="shared" si="531"/>
        <v>7</v>
      </c>
      <c r="R396" s="202">
        <f t="shared" si="484"/>
        <v>51318</v>
      </c>
      <c r="S396" s="203">
        <f t="shared" si="470"/>
        <v>0.04</v>
      </c>
      <c r="T396" s="204">
        <f t="shared" ca="1" si="471"/>
        <v>192</v>
      </c>
      <c r="U396" s="205">
        <f t="shared" ca="1" si="472"/>
        <v>308046.16647833731</v>
      </c>
      <c r="V396" s="205">
        <f t="shared" ca="1" si="457"/>
        <v>-2387.0764773272972</v>
      </c>
      <c r="W396" s="205">
        <f t="shared" ca="1" si="458"/>
        <v>-1026.8205549277911</v>
      </c>
      <c r="X396" s="205">
        <f t="shared" ca="1" si="473"/>
        <v>-1360.2559223995061</v>
      </c>
      <c r="Y396" s="205">
        <f t="shared" ca="1" si="474"/>
        <v>306685.91055593779</v>
      </c>
      <c r="Z396" s="199"/>
      <c r="AA396" s="200">
        <f t="shared" ca="1" si="462"/>
        <v>32</v>
      </c>
      <c r="AB396" s="509">
        <f t="shared" ca="1" si="459"/>
        <v>378</v>
      </c>
      <c r="AC396" s="200">
        <f t="shared" si="535"/>
        <v>32</v>
      </c>
      <c r="AD396" s="201">
        <f t="shared" si="532"/>
        <v>7</v>
      </c>
      <c r="AE396" s="202">
        <f t="shared" ca="1" si="485"/>
        <v>55916</v>
      </c>
      <c r="AF396" s="203">
        <f>IF(Dashboard!$R$24="Float",AF395+Dashboard!$R$24/12,AF395)</f>
        <v>0.06</v>
      </c>
      <c r="AG396" s="204">
        <f t="shared" si="475"/>
        <v>379</v>
      </c>
      <c r="AH396" s="205">
        <f t="shared" si="476"/>
        <v>0</v>
      </c>
      <c r="AI396" s="205">
        <f t="shared" si="460"/>
        <v>0</v>
      </c>
      <c r="AJ396" s="205">
        <f t="shared" si="461"/>
        <v>0</v>
      </c>
      <c r="AK396" s="205">
        <f t="shared" si="477"/>
        <v>0</v>
      </c>
      <c r="AL396" s="205">
        <f t="shared" si="478"/>
        <v>0</v>
      </c>
      <c r="AM396" s="199"/>
      <c r="AN396" s="200">
        <f t="shared" si="536"/>
        <v>33</v>
      </c>
      <c r="AO396" s="201">
        <f t="shared" si="533"/>
        <v>7</v>
      </c>
      <c r="AP396" s="202">
        <f t="shared" ca="1" si="486"/>
        <v>55916</v>
      </c>
      <c r="AQ396" s="203">
        <f>IF(Dashboard!$S$20="Float",AQ395+Dashboard!$T$20/12,AQ395)</f>
        <v>4.4999999999999998E-2</v>
      </c>
      <c r="AR396" s="204">
        <f t="shared" si="479"/>
        <v>379</v>
      </c>
      <c r="AS396" s="205">
        <f t="shared" si="480"/>
        <v>-6.7866797619649566E-11</v>
      </c>
      <c r="AT396" s="205">
        <f t="shared" si="463"/>
        <v>-3.6516212276183074E-12</v>
      </c>
      <c r="AU396" s="205">
        <f t="shared" si="464"/>
        <v>2.5450049107368586E-13</v>
      </c>
      <c r="AV396" s="205">
        <f t="shared" si="481"/>
        <v>-3.9061217186919931E-12</v>
      </c>
      <c r="AW396" s="205">
        <f t="shared" si="482"/>
        <v>-7.1772919338341556E-11</v>
      </c>
      <c r="AX396" s="199"/>
    </row>
    <row r="397" spans="1:50">
      <c r="A397" s="73"/>
      <c r="B397" s="570"/>
      <c r="C397" s="200">
        <f t="shared" si="534"/>
        <v>32</v>
      </c>
      <c r="D397" s="201">
        <f t="shared" si="530"/>
        <v>8</v>
      </c>
      <c r="E397" s="202">
        <f t="shared" ca="1" si="483"/>
        <v>55944</v>
      </c>
      <c r="F397" s="203">
        <f>IF(Dashboard!$Q$5="Float",F396+Dashboard!$R$5/12,F396)</f>
        <v>0.04</v>
      </c>
      <c r="G397" s="204">
        <f t="shared" si="465"/>
        <v>380</v>
      </c>
      <c r="H397" s="205">
        <f t="shared" si="466"/>
        <v>0</v>
      </c>
      <c r="I397" s="205">
        <f t="shared" si="453"/>
        <v>0</v>
      </c>
      <c r="J397" s="205">
        <f t="shared" si="454"/>
        <v>0</v>
      </c>
      <c r="K397" s="205">
        <f t="shared" si="467"/>
        <v>0</v>
      </c>
      <c r="L397" s="205">
        <f t="shared" si="468"/>
        <v>0</v>
      </c>
      <c r="M397" s="199"/>
      <c r="N397" s="200">
        <f t="shared" ca="1" si="469"/>
        <v>19</v>
      </c>
      <c r="O397" s="509">
        <f t="shared" ca="1" si="455"/>
        <v>228</v>
      </c>
      <c r="P397" s="200">
        <f t="shared" ca="1" si="456"/>
        <v>20</v>
      </c>
      <c r="Q397" s="201">
        <f t="shared" si="531"/>
        <v>8</v>
      </c>
      <c r="R397" s="202">
        <f t="shared" si="484"/>
        <v>51349</v>
      </c>
      <c r="S397" s="203">
        <f t="shared" si="470"/>
        <v>0.04</v>
      </c>
      <c r="T397" s="204">
        <f t="shared" ca="1" si="471"/>
        <v>193</v>
      </c>
      <c r="U397" s="205">
        <f t="shared" ca="1" si="472"/>
        <v>306685.91055593779</v>
      </c>
      <c r="V397" s="205">
        <f t="shared" ca="1" si="457"/>
        <v>-2387.0764773272972</v>
      </c>
      <c r="W397" s="205">
        <f t="shared" ca="1" si="458"/>
        <v>-1022.2863685197926</v>
      </c>
      <c r="X397" s="205">
        <f t="shared" ca="1" si="473"/>
        <v>-1364.7901088075046</v>
      </c>
      <c r="Y397" s="205">
        <f t="shared" ca="1" si="474"/>
        <v>305321.12044713029</v>
      </c>
      <c r="Z397" s="199"/>
      <c r="AA397" s="200">
        <f t="shared" ca="1" si="462"/>
        <v>32</v>
      </c>
      <c r="AB397" s="509">
        <f t="shared" ca="1" si="459"/>
        <v>379</v>
      </c>
      <c r="AC397" s="200">
        <f t="shared" si="535"/>
        <v>32</v>
      </c>
      <c r="AD397" s="201">
        <f t="shared" si="532"/>
        <v>8</v>
      </c>
      <c r="AE397" s="202">
        <f t="shared" ca="1" si="485"/>
        <v>55944</v>
      </c>
      <c r="AF397" s="203">
        <f>IF(Dashboard!$R$24="Float",AF396+Dashboard!$R$24/12,AF396)</f>
        <v>0.06</v>
      </c>
      <c r="AG397" s="204">
        <f t="shared" si="475"/>
        <v>380</v>
      </c>
      <c r="AH397" s="205">
        <f t="shared" si="476"/>
        <v>0</v>
      </c>
      <c r="AI397" s="205">
        <f t="shared" si="460"/>
        <v>0</v>
      </c>
      <c r="AJ397" s="205">
        <f t="shared" si="461"/>
        <v>0</v>
      </c>
      <c r="AK397" s="205">
        <f t="shared" si="477"/>
        <v>0</v>
      </c>
      <c r="AL397" s="205">
        <f t="shared" si="478"/>
        <v>0</v>
      </c>
      <c r="AM397" s="199"/>
      <c r="AN397" s="200">
        <f t="shared" si="536"/>
        <v>33</v>
      </c>
      <c r="AO397" s="201">
        <f t="shared" si="533"/>
        <v>8</v>
      </c>
      <c r="AP397" s="202">
        <f t="shared" ca="1" si="486"/>
        <v>55944</v>
      </c>
      <c r="AQ397" s="203">
        <f>IF(Dashboard!$S$20="Float",AQ396+Dashboard!$T$20/12,AQ396)</f>
        <v>4.4999999999999998E-2</v>
      </c>
      <c r="AR397" s="204">
        <f t="shared" si="479"/>
        <v>380</v>
      </c>
      <c r="AS397" s="205">
        <f t="shared" si="480"/>
        <v>-7.1772919338341556E-11</v>
      </c>
      <c r="AT397" s="205">
        <f t="shared" si="463"/>
        <v>-3.6516212276183074E-12</v>
      </c>
      <c r="AU397" s="205">
        <f t="shared" si="464"/>
        <v>2.6914844751878086E-13</v>
      </c>
      <c r="AV397" s="205">
        <f t="shared" si="481"/>
        <v>-3.9207696751370885E-12</v>
      </c>
      <c r="AW397" s="205">
        <f t="shared" si="482"/>
        <v>-7.5693689013478639E-11</v>
      </c>
      <c r="AX397" s="199"/>
    </row>
    <row r="398" spans="1:50">
      <c r="A398" s="73"/>
      <c r="B398" s="570"/>
      <c r="C398" s="200">
        <f t="shared" si="534"/>
        <v>32</v>
      </c>
      <c r="D398" s="201">
        <f t="shared" si="530"/>
        <v>9</v>
      </c>
      <c r="E398" s="202">
        <f t="shared" ca="1" si="483"/>
        <v>55975</v>
      </c>
      <c r="F398" s="203">
        <f>IF(Dashboard!$Q$5="Float",F397+Dashboard!$R$5/12,F397)</f>
        <v>0.04</v>
      </c>
      <c r="G398" s="204">
        <f t="shared" si="465"/>
        <v>381</v>
      </c>
      <c r="H398" s="205">
        <f t="shared" si="466"/>
        <v>0</v>
      </c>
      <c r="I398" s="205">
        <f t="shared" si="453"/>
        <v>0</v>
      </c>
      <c r="J398" s="205">
        <f t="shared" si="454"/>
        <v>0</v>
      </c>
      <c r="K398" s="205">
        <f t="shared" si="467"/>
        <v>0</v>
      </c>
      <c r="L398" s="205">
        <f t="shared" si="468"/>
        <v>0</v>
      </c>
      <c r="M398" s="199"/>
      <c r="N398" s="200">
        <f t="shared" ca="1" si="469"/>
        <v>20</v>
      </c>
      <c r="O398" s="509">
        <f t="shared" ca="1" si="455"/>
        <v>229</v>
      </c>
      <c r="P398" s="200">
        <f t="shared" ca="1" si="456"/>
        <v>20</v>
      </c>
      <c r="Q398" s="201">
        <f t="shared" si="531"/>
        <v>9</v>
      </c>
      <c r="R398" s="202">
        <f t="shared" si="484"/>
        <v>51380</v>
      </c>
      <c r="S398" s="203">
        <f t="shared" si="470"/>
        <v>0.04</v>
      </c>
      <c r="T398" s="204">
        <f t="shared" ca="1" si="471"/>
        <v>194</v>
      </c>
      <c r="U398" s="205">
        <f t="shared" ca="1" si="472"/>
        <v>305321.12044713029</v>
      </c>
      <c r="V398" s="205">
        <f t="shared" ca="1" si="457"/>
        <v>-2387.0764773272972</v>
      </c>
      <c r="W398" s="205">
        <f t="shared" ca="1" si="458"/>
        <v>-1017.737068157101</v>
      </c>
      <c r="X398" s="205">
        <f t="shared" ca="1" si="473"/>
        <v>-1369.3394091701962</v>
      </c>
      <c r="Y398" s="205">
        <f t="shared" ca="1" si="474"/>
        <v>303951.78103796009</v>
      </c>
      <c r="Z398" s="199"/>
      <c r="AA398" s="200">
        <f t="shared" ca="1" si="462"/>
        <v>32</v>
      </c>
      <c r="AB398" s="509">
        <f t="shared" ca="1" si="459"/>
        <v>380</v>
      </c>
      <c r="AC398" s="200">
        <f t="shared" si="535"/>
        <v>32</v>
      </c>
      <c r="AD398" s="201">
        <f t="shared" si="532"/>
        <v>9</v>
      </c>
      <c r="AE398" s="202">
        <f t="shared" ca="1" si="485"/>
        <v>55975</v>
      </c>
      <c r="AF398" s="203">
        <f>IF(Dashboard!$R$24="Float",AF397+Dashboard!$R$24/12,AF397)</f>
        <v>0.06</v>
      </c>
      <c r="AG398" s="204">
        <f t="shared" si="475"/>
        <v>381</v>
      </c>
      <c r="AH398" s="205">
        <f t="shared" si="476"/>
        <v>0</v>
      </c>
      <c r="AI398" s="205">
        <f t="shared" si="460"/>
        <v>0</v>
      </c>
      <c r="AJ398" s="205">
        <f t="shared" si="461"/>
        <v>0</v>
      </c>
      <c r="AK398" s="205">
        <f t="shared" si="477"/>
        <v>0</v>
      </c>
      <c r="AL398" s="205">
        <f t="shared" si="478"/>
        <v>0</v>
      </c>
      <c r="AM398" s="199"/>
      <c r="AN398" s="200">
        <f t="shared" si="536"/>
        <v>33</v>
      </c>
      <c r="AO398" s="201">
        <f t="shared" si="533"/>
        <v>9</v>
      </c>
      <c r="AP398" s="202">
        <f t="shared" ca="1" si="486"/>
        <v>55975</v>
      </c>
      <c r="AQ398" s="203">
        <f>IF(Dashboard!$S$20="Float",AQ397+Dashboard!$T$20/12,AQ397)</f>
        <v>4.4999999999999998E-2</v>
      </c>
      <c r="AR398" s="204">
        <f t="shared" si="479"/>
        <v>381</v>
      </c>
      <c r="AS398" s="205">
        <f t="shared" si="480"/>
        <v>-7.5693689013478639E-11</v>
      </c>
      <c r="AT398" s="205">
        <f t="shared" si="463"/>
        <v>-3.6516212276183074E-12</v>
      </c>
      <c r="AU398" s="205">
        <f t="shared" si="464"/>
        <v>2.8385133380054489E-13</v>
      </c>
      <c r="AV398" s="205">
        <f t="shared" si="481"/>
        <v>-3.9354725614188522E-12</v>
      </c>
      <c r="AW398" s="205">
        <f t="shared" si="482"/>
        <v>-7.9629161574897493E-11</v>
      </c>
      <c r="AX398" s="199"/>
    </row>
    <row r="399" spans="1:50">
      <c r="A399" s="73"/>
      <c r="B399" s="570"/>
      <c r="C399" s="200">
        <f t="shared" si="534"/>
        <v>32</v>
      </c>
      <c r="D399" s="201">
        <f t="shared" si="530"/>
        <v>10</v>
      </c>
      <c r="E399" s="202">
        <f t="shared" ca="1" si="483"/>
        <v>56005</v>
      </c>
      <c r="F399" s="203">
        <f>IF(Dashboard!$Q$5="Float",F398+Dashboard!$R$5/12,F398)</f>
        <v>0.04</v>
      </c>
      <c r="G399" s="204">
        <f t="shared" si="465"/>
        <v>382</v>
      </c>
      <c r="H399" s="205">
        <f t="shared" si="466"/>
        <v>0</v>
      </c>
      <c r="I399" s="205">
        <f t="shared" si="453"/>
        <v>0</v>
      </c>
      <c r="J399" s="205">
        <f t="shared" si="454"/>
        <v>0</v>
      </c>
      <c r="K399" s="205">
        <f t="shared" si="467"/>
        <v>0</v>
      </c>
      <c r="L399" s="205">
        <f t="shared" si="468"/>
        <v>0</v>
      </c>
      <c r="M399" s="199"/>
      <c r="N399" s="200">
        <f t="shared" ca="1" si="469"/>
        <v>20</v>
      </c>
      <c r="O399" s="509">
        <f t="shared" ca="1" si="455"/>
        <v>230</v>
      </c>
      <c r="P399" s="200">
        <f t="shared" ca="1" si="456"/>
        <v>20</v>
      </c>
      <c r="Q399" s="201">
        <f t="shared" si="531"/>
        <v>10</v>
      </c>
      <c r="R399" s="202">
        <f t="shared" si="484"/>
        <v>51410</v>
      </c>
      <c r="S399" s="203">
        <f t="shared" si="470"/>
        <v>0.04</v>
      </c>
      <c r="T399" s="204">
        <f t="shared" ca="1" si="471"/>
        <v>195</v>
      </c>
      <c r="U399" s="205">
        <f t="shared" ca="1" si="472"/>
        <v>303951.78103796009</v>
      </c>
      <c r="V399" s="205">
        <f t="shared" ca="1" si="457"/>
        <v>-2387.0764773272972</v>
      </c>
      <c r="W399" s="205">
        <f t="shared" ca="1" si="458"/>
        <v>-1013.172603459867</v>
      </c>
      <c r="X399" s="205">
        <f t="shared" ca="1" si="473"/>
        <v>-1373.9038738674303</v>
      </c>
      <c r="Y399" s="205">
        <f t="shared" ca="1" si="474"/>
        <v>302577.87716409267</v>
      </c>
      <c r="Z399" s="199"/>
      <c r="AA399" s="200">
        <f t="shared" ca="1" si="462"/>
        <v>32</v>
      </c>
      <c r="AB399" s="509">
        <f t="shared" ca="1" si="459"/>
        <v>381</v>
      </c>
      <c r="AC399" s="200">
        <f t="shared" si="535"/>
        <v>32</v>
      </c>
      <c r="AD399" s="201">
        <f t="shared" si="532"/>
        <v>10</v>
      </c>
      <c r="AE399" s="202">
        <f t="shared" ca="1" si="485"/>
        <v>56005</v>
      </c>
      <c r="AF399" s="203">
        <f>IF(Dashboard!$R$24="Float",AF398+Dashboard!$R$24/12,AF398)</f>
        <v>0.06</v>
      </c>
      <c r="AG399" s="204">
        <f t="shared" si="475"/>
        <v>382</v>
      </c>
      <c r="AH399" s="205">
        <f t="shared" si="476"/>
        <v>0</v>
      </c>
      <c r="AI399" s="205">
        <f t="shared" si="460"/>
        <v>0</v>
      </c>
      <c r="AJ399" s="205">
        <f t="shared" si="461"/>
        <v>0</v>
      </c>
      <c r="AK399" s="205">
        <f t="shared" si="477"/>
        <v>0</v>
      </c>
      <c r="AL399" s="205">
        <f t="shared" si="478"/>
        <v>0</v>
      </c>
      <c r="AM399" s="199"/>
      <c r="AN399" s="200">
        <f t="shared" si="536"/>
        <v>33</v>
      </c>
      <c r="AO399" s="201">
        <f t="shared" si="533"/>
        <v>10</v>
      </c>
      <c r="AP399" s="202">
        <f t="shared" ca="1" si="486"/>
        <v>56005</v>
      </c>
      <c r="AQ399" s="203">
        <f>IF(Dashboard!$S$20="Float",AQ398+Dashboard!$T$20/12,AQ398)</f>
        <v>4.4999999999999998E-2</v>
      </c>
      <c r="AR399" s="204">
        <f t="shared" si="479"/>
        <v>382</v>
      </c>
      <c r="AS399" s="205">
        <f t="shared" si="480"/>
        <v>-7.9629161574897493E-11</v>
      </c>
      <c r="AT399" s="205">
        <f t="shared" si="463"/>
        <v>-3.6516212276183074E-12</v>
      </c>
      <c r="AU399" s="205">
        <f t="shared" si="464"/>
        <v>2.9860935590586556E-13</v>
      </c>
      <c r="AV399" s="205">
        <f t="shared" si="481"/>
        <v>-3.9502305835241727E-12</v>
      </c>
      <c r="AW399" s="205">
        <f t="shared" si="482"/>
        <v>-8.3579392158421665E-11</v>
      </c>
      <c r="AX399" s="199"/>
    </row>
    <row r="400" spans="1:50">
      <c r="A400" s="73"/>
      <c r="B400" s="570"/>
      <c r="C400" s="200">
        <f t="shared" si="534"/>
        <v>32</v>
      </c>
      <c r="D400" s="201">
        <f t="shared" si="530"/>
        <v>11</v>
      </c>
      <c r="E400" s="202">
        <f t="shared" ca="1" si="483"/>
        <v>56036</v>
      </c>
      <c r="F400" s="203">
        <f>IF(Dashboard!$Q$5="Float",F399+Dashboard!$R$5/12,F399)</f>
        <v>0.04</v>
      </c>
      <c r="G400" s="204">
        <f t="shared" si="465"/>
        <v>383</v>
      </c>
      <c r="H400" s="205">
        <f t="shared" si="466"/>
        <v>0</v>
      </c>
      <c r="I400" s="205">
        <f t="shared" si="453"/>
        <v>0</v>
      </c>
      <c r="J400" s="205">
        <f t="shared" si="454"/>
        <v>0</v>
      </c>
      <c r="K400" s="205">
        <f t="shared" si="467"/>
        <v>0</v>
      </c>
      <c r="L400" s="205">
        <f t="shared" si="468"/>
        <v>0</v>
      </c>
      <c r="M400" s="199"/>
      <c r="N400" s="200">
        <f t="shared" ca="1" si="469"/>
        <v>20</v>
      </c>
      <c r="O400" s="509">
        <f t="shared" ca="1" si="455"/>
        <v>231</v>
      </c>
      <c r="P400" s="200">
        <f t="shared" ca="1" si="456"/>
        <v>20</v>
      </c>
      <c r="Q400" s="201">
        <f t="shared" si="531"/>
        <v>11</v>
      </c>
      <c r="R400" s="202">
        <f t="shared" si="484"/>
        <v>51441</v>
      </c>
      <c r="S400" s="203">
        <f t="shared" si="470"/>
        <v>0.04</v>
      </c>
      <c r="T400" s="204">
        <f t="shared" ca="1" si="471"/>
        <v>196</v>
      </c>
      <c r="U400" s="205">
        <f t="shared" ca="1" si="472"/>
        <v>302577.87716409267</v>
      </c>
      <c r="V400" s="205">
        <f t="shared" ca="1" si="457"/>
        <v>-2387.0764773272972</v>
      </c>
      <c r="W400" s="205">
        <f t="shared" ca="1" si="458"/>
        <v>-1008.5929238803088</v>
      </c>
      <c r="X400" s="205">
        <f t="shared" ca="1" si="473"/>
        <v>-1378.4835534469885</v>
      </c>
      <c r="Y400" s="205">
        <f t="shared" ca="1" si="474"/>
        <v>301199.39361064567</v>
      </c>
      <c r="Z400" s="199"/>
      <c r="AA400" s="200">
        <f t="shared" ca="1" si="462"/>
        <v>32</v>
      </c>
      <c r="AB400" s="509">
        <f t="shared" ca="1" si="459"/>
        <v>382</v>
      </c>
      <c r="AC400" s="200">
        <f t="shared" si="535"/>
        <v>32</v>
      </c>
      <c r="AD400" s="201">
        <f t="shared" si="532"/>
        <v>11</v>
      </c>
      <c r="AE400" s="202">
        <f t="shared" ca="1" si="485"/>
        <v>56036</v>
      </c>
      <c r="AF400" s="203">
        <f>IF(Dashboard!$R$24="Float",AF399+Dashboard!$R$24/12,AF399)</f>
        <v>0.06</v>
      </c>
      <c r="AG400" s="204">
        <f t="shared" si="475"/>
        <v>383</v>
      </c>
      <c r="AH400" s="205">
        <f t="shared" si="476"/>
        <v>0</v>
      </c>
      <c r="AI400" s="205">
        <f t="shared" si="460"/>
        <v>0</v>
      </c>
      <c r="AJ400" s="205">
        <f t="shared" si="461"/>
        <v>0</v>
      </c>
      <c r="AK400" s="205">
        <f t="shared" si="477"/>
        <v>0</v>
      </c>
      <c r="AL400" s="205">
        <f t="shared" si="478"/>
        <v>0</v>
      </c>
      <c r="AM400" s="199"/>
      <c r="AN400" s="200">
        <f t="shared" si="536"/>
        <v>33</v>
      </c>
      <c r="AO400" s="201">
        <f t="shared" si="533"/>
        <v>11</v>
      </c>
      <c r="AP400" s="202">
        <f t="shared" ca="1" si="486"/>
        <v>56036</v>
      </c>
      <c r="AQ400" s="203">
        <f>IF(Dashboard!$S$20="Float",AQ399+Dashboard!$T$20/12,AQ399)</f>
        <v>4.4999999999999998E-2</v>
      </c>
      <c r="AR400" s="204">
        <f t="shared" si="479"/>
        <v>383</v>
      </c>
      <c r="AS400" s="205">
        <f t="shared" si="480"/>
        <v>-8.3579392158421665E-11</v>
      </c>
      <c r="AT400" s="205">
        <f t="shared" si="463"/>
        <v>-3.6516212276183074E-12</v>
      </c>
      <c r="AU400" s="205">
        <f t="shared" si="464"/>
        <v>3.1342272059408123E-13</v>
      </c>
      <c r="AV400" s="205">
        <f t="shared" si="481"/>
        <v>-3.9650439482123889E-12</v>
      </c>
      <c r="AW400" s="205">
        <f t="shared" si="482"/>
        <v>-8.7544436106634054E-11</v>
      </c>
      <c r="AX400" s="199"/>
    </row>
    <row r="401" spans="1:50">
      <c r="A401" s="73"/>
      <c r="B401" s="570"/>
      <c r="C401" s="200">
        <f t="shared" si="534"/>
        <v>32</v>
      </c>
      <c r="D401" s="201">
        <f t="shared" si="530"/>
        <v>12</v>
      </c>
      <c r="E401" s="202">
        <f t="shared" ca="1" si="483"/>
        <v>56066</v>
      </c>
      <c r="F401" s="203">
        <f>IF(Dashboard!$Q$5="Float",F400+Dashboard!$R$5/12,F400)</f>
        <v>0.04</v>
      </c>
      <c r="G401" s="204">
        <f t="shared" si="465"/>
        <v>384</v>
      </c>
      <c r="H401" s="205">
        <f t="shared" si="466"/>
        <v>0</v>
      </c>
      <c r="I401" s="205">
        <f t="shared" si="453"/>
        <v>0</v>
      </c>
      <c r="J401" s="205">
        <f t="shared" si="454"/>
        <v>0</v>
      </c>
      <c r="K401" s="205">
        <f t="shared" si="467"/>
        <v>0</v>
      </c>
      <c r="L401" s="205">
        <f t="shared" si="468"/>
        <v>0</v>
      </c>
      <c r="M401" s="199"/>
      <c r="N401" s="200">
        <f t="shared" ca="1" si="469"/>
        <v>20</v>
      </c>
      <c r="O401" s="509">
        <f t="shared" ca="1" si="455"/>
        <v>232</v>
      </c>
      <c r="P401" s="200">
        <f t="shared" ca="1" si="456"/>
        <v>20</v>
      </c>
      <c r="Q401" s="201">
        <f t="shared" si="531"/>
        <v>12</v>
      </c>
      <c r="R401" s="202">
        <f t="shared" si="484"/>
        <v>51471</v>
      </c>
      <c r="S401" s="203">
        <f t="shared" si="470"/>
        <v>0.04</v>
      </c>
      <c r="T401" s="204">
        <f t="shared" ca="1" si="471"/>
        <v>197</v>
      </c>
      <c r="U401" s="205">
        <f t="shared" ca="1" si="472"/>
        <v>301199.39361064567</v>
      </c>
      <c r="V401" s="205">
        <f t="shared" ca="1" si="457"/>
        <v>-2387.0764773272972</v>
      </c>
      <c r="W401" s="205">
        <f t="shared" ca="1" si="458"/>
        <v>-1003.9979787021522</v>
      </c>
      <c r="X401" s="205">
        <f t="shared" ca="1" si="473"/>
        <v>-1383.0784986251451</v>
      </c>
      <c r="Y401" s="205">
        <f t="shared" ca="1" si="474"/>
        <v>299816.31511202053</v>
      </c>
      <c r="Z401" s="199"/>
      <c r="AA401" s="200">
        <f t="shared" ca="1" si="462"/>
        <v>32</v>
      </c>
      <c r="AB401" s="509">
        <f t="shared" ca="1" si="459"/>
        <v>383</v>
      </c>
      <c r="AC401" s="200">
        <f t="shared" si="535"/>
        <v>32</v>
      </c>
      <c r="AD401" s="201">
        <f t="shared" si="532"/>
        <v>12</v>
      </c>
      <c r="AE401" s="202">
        <f t="shared" ca="1" si="485"/>
        <v>56066</v>
      </c>
      <c r="AF401" s="203">
        <f>IF(Dashboard!$R$24="Float",AF400+Dashboard!$R$24/12,AF400)</f>
        <v>0.06</v>
      </c>
      <c r="AG401" s="204">
        <f t="shared" si="475"/>
        <v>384</v>
      </c>
      <c r="AH401" s="205">
        <f t="shared" si="476"/>
        <v>0</v>
      </c>
      <c r="AI401" s="205">
        <f t="shared" si="460"/>
        <v>0</v>
      </c>
      <c r="AJ401" s="205">
        <f t="shared" si="461"/>
        <v>0</v>
      </c>
      <c r="AK401" s="205">
        <f t="shared" si="477"/>
        <v>0</v>
      </c>
      <c r="AL401" s="205">
        <f t="shared" si="478"/>
        <v>0</v>
      </c>
      <c r="AM401" s="199"/>
      <c r="AN401" s="200">
        <f t="shared" si="536"/>
        <v>33</v>
      </c>
      <c r="AO401" s="201">
        <f t="shared" si="533"/>
        <v>12</v>
      </c>
      <c r="AP401" s="202">
        <f t="shared" ca="1" si="486"/>
        <v>56066</v>
      </c>
      <c r="AQ401" s="203">
        <f>IF(Dashboard!$S$20="Float",AQ400+Dashboard!$T$20/12,AQ400)</f>
        <v>4.4999999999999998E-2</v>
      </c>
      <c r="AR401" s="204">
        <f t="shared" si="479"/>
        <v>384</v>
      </c>
      <c r="AS401" s="205">
        <f t="shared" si="480"/>
        <v>-8.7544436106634054E-11</v>
      </c>
      <c r="AT401" s="205">
        <f t="shared" si="463"/>
        <v>-3.6516212276183074E-12</v>
      </c>
      <c r="AU401" s="205">
        <f t="shared" si="464"/>
        <v>3.2829163539987768E-13</v>
      </c>
      <c r="AV401" s="205">
        <f t="shared" si="481"/>
        <v>-3.9799128630181848E-12</v>
      </c>
      <c r="AW401" s="205">
        <f t="shared" si="482"/>
        <v>-9.1524348969652237E-11</v>
      </c>
      <c r="AX401" s="199"/>
    </row>
    <row r="402" spans="1:50">
      <c r="A402" s="73"/>
      <c r="B402" s="571">
        <f>+C402</f>
        <v>33</v>
      </c>
      <c r="C402" s="16">
        <f t="shared" ref="C402" si="537">+C401+1</f>
        <v>33</v>
      </c>
      <c r="D402" s="17">
        <v>1</v>
      </c>
      <c r="E402" s="18">
        <f t="shared" ca="1" si="483"/>
        <v>56097</v>
      </c>
      <c r="F402" s="10">
        <f>IF(Dashboard!$Q$5="Float",F401+Dashboard!$R$5/12,F401)</f>
        <v>0.04</v>
      </c>
      <c r="G402" s="14">
        <f t="shared" si="465"/>
        <v>385</v>
      </c>
      <c r="H402" s="5">
        <f t="shared" si="466"/>
        <v>0</v>
      </c>
      <c r="I402" s="5">
        <f t="shared" ref="I402:I465" si="538">+IFERROR(IF(C402&gt;D$6,PMT(LOOKUP(C402,$C$18:$C$497,F$18:F$497)/12,D$5+1-G402,H402),-H402*LOOKUP(C402,C$18:C$497,F$18:F$497)/12),0)</f>
        <v>0</v>
      </c>
      <c r="J402" s="5">
        <f t="shared" ref="J402:J465" si="539">-H402*LOOKUP(C402,C$18:C$497,F$18:F$497)/12</f>
        <v>0</v>
      </c>
      <c r="K402" s="5">
        <f t="shared" si="467"/>
        <v>0</v>
      </c>
      <c r="L402" s="5">
        <f t="shared" si="468"/>
        <v>0</v>
      </c>
      <c r="M402" s="199"/>
      <c r="N402" s="16">
        <f t="shared" ca="1" si="469"/>
        <v>20</v>
      </c>
      <c r="O402" s="508">
        <f t="shared" ref="O402:O465" ca="1" si="540">+IF(CDate&gt;=$R402,0,IF(O401&gt;0,O401+1,1))</f>
        <v>233</v>
      </c>
      <c r="P402" s="16">
        <f t="shared" ref="P402:P465" ca="1" si="541">+IFERROR(LOOKUP($R402,$E$18:$E$497,$C$18:$C$497),0)</f>
        <v>20</v>
      </c>
      <c r="Q402" s="17">
        <v>1</v>
      </c>
      <c r="R402" s="18">
        <f t="shared" si="484"/>
        <v>51502</v>
      </c>
      <c r="S402" s="10">
        <f t="shared" si="470"/>
        <v>0.04</v>
      </c>
      <c r="T402" s="14">
        <f t="shared" ca="1" si="471"/>
        <v>198</v>
      </c>
      <c r="U402" s="5">
        <f t="shared" ca="1" si="472"/>
        <v>299816.31511202053</v>
      </c>
      <c r="V402" s="5">
        <f t="shared" ref="V402:V465" ca="1" si="542">+IFERROR(IF(P402&gt;Q$6,PMT(LOOKUP(P402,$C$18:$C$497,S$18:S$497)/12,Q$5+1-T402,U402),-U402*LOOKUP(P402,P$18:P$497,S$18:S$497)/12),0)</f>
        <v>-2387.0764773272972</v>
      </c>
      <c r="W402" s="5">
        <f t="shared" ref="W402:W465" ca="1" si="543">-U402*LOOKUP(P402,P$18:P$497,S$18:S$497)/12</f>
        <v>-999.38771704006842</v>
      </c>
      <c r="X402" s="5">
        <f t="shared" ca="1" si="473"/>
        <v>-1387.6887602872289</v>
      </c>
      <c r="Y402" s="5">
        <f t="shared" ca="1" si="474"/>
        <v>298428.62635173328</v>
      </c>
      <c r="Z402" s="199"/>
      <c r="AA402" s="16">
        <f t="shared" ca="1" si="462"/>
        <v>32</v>
      </c>
      <c r="AB402" s="508">
        <f t="shared" ref="AB402:AB465" ca="1" si="544">+IF(CDate&gt;=$AE402,0,IF(AB401&gt;0,AB401+1,1))</f>
        <v>384</v>
      </c>
      <c r="AC402" s="16">
        <f t="shared" ref="AC402" si="545">+AC401+1</f>
        <v>33</v>
      </c>
      <c r="AD402" s="17">
        <v>1</v>
      </c>
      <c r="AE402" s="18">
        <f t="shared" ca="1" si="485"/>
        <v>56097</v>
      </c>
      <c r="AF402" s="10">
        <f>IF(Dashboard!$R$24="Float",AF401+Dashboard!$R$24/12,AF401)</f>
        <v>0.06</v>
      </c>
      <c r="AG402" s="14">
        <f t="shared" si="475"/>
        <v>385</v>
      </c>
      <c r="AH402" s="5">
        <f t="shared" si="476"/>
        <v>0</v>
      </c>
      <c r="AI402" s="5">
        <f t="shared" ref="AI402:AI465" si="546">+IFERROR(IF(AC402&gt;AD$6,PMT(LOOKUP(AC402,$C$18:$C$497,AF$18:AF$497)/12,AD$5+1-AG402,AH402),-AH402*LOOKUP(AC402,AC$18:AC$497,AF$18:AF$497)/12),0)</f>
        <v>0</v>
      </c>
      <c r="AJ402" s="5">
        <f t="shared" ref="AJ402:AJ465" si="547">-AH402*LOOKUP(AC402,AC$18:AC$497,AF$18:AF$497)/12</f>
        <v>0</v>
      </c>
      <c r="AK402" s="5">
        <f t="shared" si="477"/>
        <v>0</v>
      </c>
      <c r="AL402" s="5">
        <f t="shared" si="478"/>
        <v>0</v>
      </c>
      <c r="AM402" s="199"/>
      <c r="AN402" s="16">
        <f t="shared" ref="AN402" si="548">+AN401+1</f>
        <v>34</v>
      </c>
      <c r="AO402" s="17">
        <v>1</v>
      </c>
      <c r="AP402" s="18">
        <f t="shared" ca="1" si="486"/>
        <v>56097</v>
      </c>
      <c r="AQ402" s="10">
        <f>IF(Dashboard!$S$20="Float",AQ401+Dashboard!$T$20/12,AQ401)</f>
        <v>4.4999999999999998E-2</v>
      </c>
      <c r="AR402" s="14">
        <f t="shared" si="479"/>
        <v>385</v>
      </c>
      <c r="AS402" s="5">
        <f t="shared" si="480"/>
        <v>-9.1524348969652237E-11</v>
      </c>
      <c r="AT402" s="5">
        <f t="shared" si="463"/>
        <v>-3.6516212276183074E-12</v>
      </c>
      <c r="AU402" s="5">
        <f t="shared" si="464"/>
        <v>3.4321630863619586E-13</v>
      </c>
      <c r="AV402" s="5">
        <f t="shared" si="481"/>
        <v>-3.9948375362545037E-12</v>
      </c>
      <c r="AW402" s="5">
        <f t="shared" si="482"/>
        <v>-9.5519186505906744E-11</v>
      </c>
      <c r="AX402" s="199"/>
    </row>
    <row r="403" spans="1:50">
      <c r="A403" s="73"/>
      <c r="B403" s="572"/>
      <c r="C403" s="16">
        <f>+C402</f>
        <v>33</v>
      </c>
      <c r="D403" s="17">
        <f>+D402+1</f>
        <v>2</v>
      </c>
      <c r="E403" s="18">
        <f t="shared" ca="1" si="483"/>
        <v>56128</v>
      </c>
      <c r="F403" s="10">
        <f>IF(Dashboard!$Q$5="Float",F402+Dashboard!$R$5/12,F402)</f>
        <v>0.04</v>
      </c>
      <c r="G403" s="14">
        <f t="shared" si="465"/>
        <v>386</v>
      </c>
      <c r="H403" s="5">
        <f t="shared" si="466"/>
        <v>0</v>
      </c>
      <c r="I403" s="5">
        <f t="shared" si="538"/>
        <v>0</v>
      </c>
      <c r="J403" s="5">
        <f t="shared" si="539"/>
        <v>0</v>
      </c>
      <c r="K403" s="5">
        <f t="shared" si="467"/>
        <v>0</v>
      </c>
      <c r="L403" s="5">
        <f t="shared" si="468"/>
        <v>0</v>
      </c>
      <c r="M403" s="199"/>
      <c r="N403" s="16">
        <f t="shared" ca="1" si="469"/>
        <v>20</v>
      </c>
      <c r="O403" s="508">
        <f t="shared" ca="1" si="540"/>
        <v>234</v>
      </c>
      <c r="P403" s="16">
        <f t="shared" ca="1" si="541"/>
        <v>20</v>
      </c>
      <c r="Q403" s="17">
        <f>+Q402+1</f>
        <v>2</v>
      </c>
      <c r="R403" s="18">
        <f t="shared" si="484"/>
        <v>51533</v>
      </c>
      <c r="S403" s="10">
        <f t="shared" si="470"/>
        <v>0.04</v>
      </c>
      <c r="T403" s="14">
        <f t="shared" ca="1" si="471"/>
        <v>199</v>
      </c>
      <c r="U403" s="5">
        <f t="shared" ca="1" si="472"/>
        <v>298428.62635173328</v>
      </c>
      <c r="V403" s="5">
        <f t="shared" ca="1" si="542"/>
        <v>-2387.0764773272972</v>
      </c>
      <c r="W403" s="5">
        <f t="shared" ca="1" si="543"/>
        <v>-994.7620878391109</v>
      </c>
      <c r="X403" s="5">
        <f t="shared" ca="1" si="473"/>
        <v>-1392.3143894881864</v>
      </c>
      <c r="Y403" s="5">
        <f t="shared" ca="1" si="474"/>
        <v>297036.31196224509</v>
      </c>
      <c r="Z403" s="199"/>
      <c r="AA403" s="16">
        <f t="shared" ref="AA403:AA466" ca="1" si="549">+ROUNDUP(AB403/12,0)</f>
        <v>33</v>
      </c>
      <c r="AB403" s="508">
        <f t="shared" ca="1" si="544"/>
        <v>385</v>
      </c>
      <c r="AC403" s="16">
        <f>+AC402</f>
        <v>33</v>
      </c>
      <c r="AD403" s="17">
        <f>+AD402+1</f>
        <v>2</v>
      </c>
      <c r="AE403" s="18">
        <f t="shared" ca="1" si="485"/>
        <v>56128</v>
      </c>
      <c r="AF403" s="10">
        <f>IF(Dashboard!$R$24="Float",AF402+Dashboard!$R$24/12,AF402)</f>
        <v>0.06</v>
      </c>
      <c r="AG403" s="14">
        <f t="shared" si="475"/>
        <v>386</v>
      </c>
      <c r="AH403" s="5">
        <f t="shared" si="476"/>
        <v>0</v>
      </c>
      <c r="AI403" s="5">
        <f t="shared" si="546"/>
        <v>0</v>
      </c>
      <c r="AJ403" s="5">
        <f t="shared" si="547"/>
        <v>0</v>
      </c>
      <c r="AK403" s="5">
        <f t="shared" si="477"/>
        <v>0</v>
      </c>
      <c r="AL403" s="5">
        <f t="shared" si="478"/>
        <v>0</v>
      </c>
      <c r="AM403" s="199"/>
      <c r="AN403" s="16">
        <f>+AN402</f>
        <v>34</v>
      </c>
      <c r="AO403" s="17">
        <f>+AO402+1</f>
        <v>2</v>
      </c>
      <c r="AP403" s="18">
        <f t="shared" ca="1" si="486"/>
        <v>56128</v>
      </c>
      <c r="AQ403" s="10">
        <f>IF(Dashboard!$S$20="Float",AQ402+Dashboard!$T$20/12,AQ402)</f>
        <v>4.4999999999999998E-2</v>
      </c>
      <c r="AR403" s="14">
        <f t="shared" si="479"/>
        <v>386</v>
      </c>
      <c r="AS403" s="5">
        <f t="shared" si="480"/>
        <v>-9.5519186505906744E-11</v>
      </c>
      <c r="AT403" s="5">
        <f t="shared" ref="AT403:AT466" si="550">+IFERROR(IF(AN403&gt;AO$6+$AT$5-1,PMT(LOOKUP(AN403,$AT$5:$AT$15,$AU$5:$AU$15)/12,$AO$5+1-AR403,AS403),-AS403*LOOKUP(AN403,AN$18:AN$497,AQ$18:AQ$497)/12),0)</f>
        <v>-3.6516212276183074E-12</v>
      </c>
      <c r="AU403" s="5">
        <f t="shared" ref="AU403:AU466" si="551">-AS403*LOOKUP(AN403,$AT$5:$AT$15,$AU$5:$AU$15)/12</f>
        <v>3.5819694939715026E-13</v>
      </c>
      <c r="AV403" s="5">
        <f t="shared" si="481"/>
        <v>-4.009818177015458E-12</v>
      </c>
      <c r="AW403" s="5">
        <f t="shared" si="482"/>
        <v>-9.9529004682922199E-11</v>
      </c>
      <c r="AX403" s="199"/>
    </row>
    <row r="404" spans="1:50">
      <c r="A404" s="73"/>
      <c r="B404" s="572"/>
      <c r="C404" s="16">
        <f>+C403</f>
        <v>33</v>
      </c>
      <c r="D404" s="17">
        <f>+D403+1</f>
        <v>3</v>
      </c>
      <c r="E404" s="18">
        <f t="shared" ca="1" si="483"/>
        <v>56158</v>
      </c>
      <c r="F404" s="10">
        <f>IF(Dashboard!$Q$5="Float",F403+Dashboard!$R$5/12,F403)</f>
        <v>0.04</v>
      </c>
      <c r="G404" s="14">
        <f t="shared" ref="G404:G467" si="552">+IF(G403="I/O",IF(C404&lt;=D$6,"I/O",1),G403+1)</f>
        <v>387</v>
      </c>
      <c r="H404" s="5">
        <f t="shared" ref="H404:H467" si="553">+L403</f>
        <v>0</v>
      </c>
      <c r="I404" s="5">
        <f t="shared" si="538"/>
        <v>0</v>
      </c>
      <c r="J404" s="5">
        <f t="shared" si="539"/>
        <v>0</v>
      </c>
      <c r="K404" s="5">
        <f t="shared" ref="K404:K467" si="554">+I404-J404</f>
        <v>0</v>
      </c>
      <c r="L404" s="5">
        <f t="shared" ref="L404:L467" si="555">IFERROR(H404+K404,0)</f>
        <v>0</v>
      </c>
      <c r="M404" s="199"/>
      <c r="N404" s="16">
        <f t="shared" ref="N404:N467" ca="1" si="556">+ROUNDUP(O404/12,0)</f>
        <v>20</v>
      </c>
      <c r="O404" s="508">
        <f t="shared" ca="1" si="540"/>
        <v>235</v>
      </c>
      <c r="P404" s="16">
        <f t="shared" ca="1" si="541"/>
        <v>20</v>
      </c>
      <c r="Q404" s="17">
        <f>+Q403+1</f>
        <v>3</v>
      </c>
      <c r="R404" s="18">
        <f t="shared" si="484"/>
        <v>51561</v>
      </c>
      <c r="S404" s="10">
        <f t="shared" ref="S404:S467" si="557">+S403</f>
        <v>0.04</v>
      </c>
      <c r="T404" s="14">
        <f t="shared" ref="T404:T467" ca="1" si="558">+IF(T403="I/O",IF(P404&lt;=Q$6,"I/O",1),T403+1)</f>
        <v>200</v>
      </c>
      <c r="U404" s="5">
        <f t="shared" ref="U404:U467" ca="1" si="559">+Y403</f>
        <v>297036.31196224509</v>
      </c>
      <c r="V404" s="5">
        <f t="shared" ca="1" si="542"/>
        <v>-2387.0764773272963</v>
      </c>
      <c r="W404" s="5">
        <f t="shared" ca="1" si="543"/>
        <v>-990.12103987415037</v>
      </c>
      <c r="X404" s="5">
        <f t="shared" ref="X404:X467" ca="1" si="560">+V404-W404</f>
        <v>-1396.9554374531458</v>
      </c>
      <c r="Y404" s="5">
        <f t="shared" ref="Y404:Y467" ca="1" si="561">IFERROR(U404+X404,0)</f>
        <v>295639.35652479192</v>
      </c>
      <c r="Z404" s="199"/>
      <c r="AA404" s="16">
        <f t="shared" ca="1" si="549"/>
        <v>33</v>
      </c>
      <c r="AB404" s="508">
        <f t="shared" ca="1" si="544"/>
        <v>386</v>
      </c>
      <c r="AC404" s="16">
        <f>+AC403</f>
        <v>33</v>
      </c>
      <c r="AD404" s="17">
        <f>+AD403+1</f>
        <v>3</v>
      </c>
      <c r="AE404" s="18">
        <f t="shared" ca="1" si="485"/>
        <v>56158</v>
      </c>
      <c r="AF404" s="10">
        <f>IF(Dashboard!$R$24="Float",AF403+Dashboard!$R$24/12,AF403)</f>
        <v>0.06</v>
      </c>
      <c r="AG404" s="14">
        <f t="shared" ref="AG404:AG467" si="562">+IF(AG403="I/O",IF(AC404&lt;=AD$6,"I/O",1),AG403+1)</f>
        <v>387</v>
      </c>
      <c r="AH404" s="5">
        <f t="shared" ref="AH404:AH467" si="563">+AL403</f>
        <v>0</v>
      </c>
      <c r="AI404" s="5">
        <f t="shared" si="546"/>
        <v>0</v>
      </c>
      <c r="AJ404" s="5">
        <f t="shared" si="547"/>
        <v>0</v>
      </c>
      <c r="AK404" s="5">
        <f t="shared" ref="AK404:AK467" si="564">+AI404-AJ404</f>
        <v>0</v>
      </c>
      <c r="AL404" s="5">
        <f t="shared" ref="AL404:AL467" si="565">IFERROR(AH404+AK404,0)</f>
        <v>0</v>
      </c>
      <c r="AM404" s="199"/>
      <c r="AN404" s="16">
        <f>+AN403</f>
        <v>34</v>
      </c>
      <c r="AO404" s="17">
        <f>+AO403+1</f>
        <v>3</v>
      </c>
      <c r="AP404" s="18">
        <f t="shared" ca="1" si="486"/>
        <v>56158</v>
      </c>
      <c r="AQ404" s="10">
        <f>IF(Dashboard!$S$20="Float",AQ403+Dashboard!$T$20/12,AQ403)</f>
        <v>4.4999999999999998E-2</v>
      </c>
      <c r="AR404" s="14">
        <f t="shared" ref="AR404:AR467" si="566">+IF(AR403="I/O",IF(AN404&lt;=AO$6,"I/O",1),AR403+1)</f>
        <v>387</v>
      </c>
      <c r="AS404" s="5">
        <f t="shared" ref="AS404:AS467" si="567">+AW403</f>
        <v>-9.9529004682922199E-11</v>
      </c>
      <c r="AT404" s="5">
        <f t="shared" si="550"/>
        <v>-3.6516212276183074E-12</v>
      </c>
      <c r="AU404" s="5">
        <f t="shared" si="551"/>
        <v>3.7323376756095818E-13</v>
      </c>
      <c r="AV404" s="5">
        <f t="shared" ref="AV404:AV467" si="568">+AT404-AU404</f>
        <v>-4.0248549951792655E-12</v>
      </c>
      <c r="AW404" s="5">
        <f t="shared" ref="AW404:AW467" si="569">IFERROR(AS404+AV404,0)</f>
        <v>-1.0355385967810146E-10</v>
      </c>
      <c r="AX404" s="199"/>
    </row>
    <row r="405" spans="1:50">
      <c r="A405" s="73"/>
      <c r="B405" s="572"/>
      <c r="C405" s="16">
        <f>+C404</f>
        <v>33</v>
      </c>
      <c r="D405" s="17">
        <f t="shared" ref="D405:D413" si="570">+D404+1</f>
        <v>4</v>
      </c>
      <c r="E405" s="18">
        <f t="shared" ref="E405:E468" ca="1" si="571">+EDATE(E404,1)</f>
        <v>56189</v>
      </c>
      <c r="F405" s="10">
        <f>IF(Dashboard!$Q$5="Float",F404+Dashboard!$R$5/12,F404)</f>
        <v>0.04</v>
      </c>
      <c r="G405" s="14">
        <f t="shared" si="552"/>
        <v>388</v>
      </c>
      <c r="H405" s="5">
        <f t="shared" si="553"/>
        <v>0</v>
      </c>
      <c r="I405" s="5">
        <f t="shared" si="538"/>
        <v>0</v>
      </c>
      <c r="J405" s="5">
        <f t="shared" si="539"/>
        <v>0</v>
      </c>
      <c r="K405" s="5">
        <f t="shared" si="554"/>
        <v>0</v>
      </c>
      <c r="L405" s="5">
        <f t="shared" si="555"/>
        <v>0</v>
      </c>
      <c r="M405" s="199"/>
      <c r="N405" s="16">
        <f t="shared" ca="1" si="556"/>
        <v>20</v>
      </c>
      <c r="O405" s="508">
        <f t="shared" ca="1" si="540"/>
        <v>236</v>
      </c>
      <c r="P405" s="16">
        <f t="shared" ca="1" si="541"/>
        <v>20</v>
      </c>
      <c r="Q405" s="17">
        <f t="shared" ref="Q405:Q413" si="572">+Q404+1</f>
        <v>4</v>
      </c>
      <c r="R405" s="18">
        <f t="shared" ref="R405:R468" si="573">+EDATE(R404,1)</f>
        <v>51592</v>
      </c>
      <c r="S405" s="10">
        <f t="shared" si="557"/>
        <v>0.04</v>
      </c>
      <c r="T405" s="14">
        <f t="shared" ca="1" si="558"/>
        <v>201</v>
      </c>
      <c r="U405" s="5">
        <f t="shared" ca="1" si="559"/>
        <v>295639.35652479192</v>
      </c>
      <c r="V405" s="5">
        <f t="shared" ca="1" si="542"/>
        <v>-2387.0764773272967</v>
      </c>
      <c r="W405" s="5">
        <f t="shared" ca="1" si="543"/>
        <v>-985.4645217493063</v>
      </c>
      <c r="X405" s="5">
        <f t="shared" ca="1" si="560"/>
        <v>-1401.6119555779906</v>
      </c>
      <c r="Y405" s="5">
        <f t="shared" ca="1" si="561"/>
        <v>294237.74456921394</v>
      </c>
      <c r="Z405" s="199"/>
      <c r="AA405" s="16">
        <f t="shared" ca="1" si="549"/>
        <v>33</v>
      </c>
      <c r="AB405" s="508">
        <f t="shared" ca="1" si="544"/>
        <v>387</v>
      </c>
      <c r="AC405" s="16">
        <f>+AC404</f>
        <v>33</v>
      </c>
      <c r="AD405" s="17">
        <f t="shared" ref="AD405:AD413" si="574">+AD404+1</f>
        <v>4</v>
      </c>
      <c r="AE405" s="18">
        <f t="shared" ref="AE405:AE468" ca="1" si="575">+EDATE(AE404,1)</f>
        <v>56189</v>
      </c>
      <c r="AF405" s="10">
        <f>IF(Dashboard!$R$24="Float",AF404+Dashboard!$R$24/12,AF404)</f>
        <v>0.06</v>
      </c>
      <c r="AG405" s="14">
        <f t="shared" si="562"/>
        <v>388</v>
      </c>
      <c r="AH405" s="5">
        <f t="shared" si="563"/>
        <v>0</v>
      </c>
      <c r="AI405" s="5">
        <f t="shared" si="546"/>
        <v>0</v>
      </c>
      <c r="AJ405" s="5">
        <f t="shared" si="547"/>
        <v>0</v>
      </c>
      <c r="AK405" s="5">
        <f t="shared" si="564"/>
        <v>0</v>
      </c>
      <c r="AL405" s="5">
        <f t="shared" si="565"/>
        <v>0</v>
      </c>
      <c r="AM405" s="199"/>
      <c r="AN405" s="16">
        <f>+AN404</f>
        <v>34</v>
      </c>
      <c r="AO405" s="17">
        <f t="shared" ref="AO405:AO413" si="576">+AO404+1</f>
        <v>4</v>
      </c>
      <c r="AP405" s="18">
        <f t="shared" ref="AP405:AP468" ca="1" si="577">+EDATE(AP404,1)</f>
        <v>56189</v>
      </c>
      <c r="AQ405" s="10">
        <f>IF(Dashboard!$S$20="Float",AQ404+Dashboard!$T$20/12,AQ404)</f>
        <v>4.4999999999999998E-2</v>
      </c>
      <c r="AR405" s="14">
        <f t="shared" si="566"/>
        <v>388</v>
      </c>
      <c r="AS405" s="5">
        <f t="shared" si="567"/>
        <v>-1.0355385967810146E-10</v>
      </c>
      <c r="AT405" s="5">
        <f t="shared" si="550"/>
        <v>-3.6516212276183074E-12</v>
      </c>
      <c r="AU405" s="5">
        <f t="shared" si="551"/>
        <v>3.8832697379288044E-13</v>
      </c>
      <c r="AV405" s="5">
        <f t="shared" si="568"/>
        <v>-4.0399482014111876E-12</v>
      </c>
      <c r="AW405" s="5">
        <f t="shared" si="569"/>
        <v>-1.0759380787951265E-10</v>
      </c>
      <c r="AX405" s="199"/>
    </row>
    <row r="406" spans="1:50">
      <c r="A406" s="73"/>
      <c r="B406" s="572"/>
      <c r="C406" s="16">
        <f t="shared" ref="C406:C413" si="578">+C405</f>
        <v>33</v>
      </c>
      <c r="D406" s="17">
        <f t="shared" si="570"/>
        <v>5</v>
      </c>
      <c r="E406" s="18">
        <f t="shared" ca="1" si="571"/>
        <v>56219</v>
      </c>
      <c r="F406" s="10">
        <f>IF(Dashboard!$Q$5="Float",F405+Dashboard!$R$5/12,F405)</f>
        <v>0.04</v>
      </c>
      <c r="G406" s="14">
        <f t="shared" si="552"/>
        <v>389</v>
      </c>
      <c r="H406" s="5">
        <f t="shared" si="553"/>
        <v>0</v>
      </c>
      <c r="I406" s="5">
        <f t="shared" si="538"/>
        <v>0</v>
      </c>
      <c r="J406" s="5">
        <f t="shared" si="539"/>
        <v>0</v>
      </c>
      <c r="K406" s="5">
        <f t="shared" si="554"/>
        <v>0</v>
      </c>
      <c r="L406" s="5">
        <f t="shared" si="555"/>
        <v>0</v>
      </c>
      <c r="M406" s="199"/>
      <c r="N406" s="16">
        <f t="shared" ca="1" si="556"/>
        <v>20</v>
      </c>
      <c r="O406" s="508">
        <f t="shared" ca="1" si="540"/>
        <v>237</v>
      </c>
      <c r="P406" s="16">
        <f t="shared" ca="1" si="541"/>
        <v>20</v>
      </c>
      <c r="Q406" s="17">
        <f t="shared" si="572"/>
        <v>5</v>
      </c>
      <c r="R406" s="18">
        <f t="shared" si="573"/>
        <v>51622</v>
      </c>
      <c r="S406" s="10">
        <f t="shared" si="557"/>
        <v>0.04</v>
      </c>
      <c r="T406" s="14">
        <f t="shared" ca="1" si="558"/>
        <v>202</v>
      </c>
      <c r="U406" s="5">
        <f t="shared" ca="1" si="559"/>
        <v>294237.74456921394</v>
      </c>
      <c r="V406" s="5">
        <f t="shared" ca="1" si="542"/>
        <v>-2387.0764773272967</v>
      </c>
      <c r="W406" s="5">
        <f t="shared" ca="1" si="543"/>
        <v>-980.79248189737984</v>
      </c>
      <c r="X406" s="5">
        <f t="shared" ca="1" si="560"/>
        <v>-1406.283995429917</v>
      </c>
      <c r="Y406" s="5">
        <f t="shared" ca="1" si="561"/>
        <v>292831.46057378402</v>
      </c>
      <c r="Z406" s="199"/>
      <c r="AA406" s="16">
        <f t="shared" ca="1" si="549"/>
        <v>33</v>
      </c>
      <c r="AB406" s="508">
        <f t="shared" ca="1" si="544"/>
        <v>388</v>
      </c>
      <c r="AC406" s="16">
        <f t="shared" ref="AC406:AC413" si="579">+AC405</f>
        <v>33</v>
      </c>
      <c r="AD406" s="17">
        <f t="shared" si="574"/>
        <v>5</v>
      </c>
      <c r="AE406" s="18">
        <f t="shared" ca="1" si="575"/>
        <v>56219</v>
      </c>
      <c r="AF406" s="10">
        <f>IF(Dashboard!$R$24="Float",AF405+Dashboard!$R$24/12,AF405)</f>
        <v>0.06</v>
      </c>
      <c r="AG406" s="14">
        <f t="shared" si="562"/>
        <v>389</v>
      </c>
      <c r="AH406" s="5">
        <f t="shared" si="563"/>
        <v>0</v>
      </c>
      <c r="AI406" s="5">
        <f t="shared" si="546"/>
        <v>0</v>
      </c>
      <c r="AJ406" s="5">
        <f t="shared" si="547"/>
        <v>0</v>
      </c>
      <c r="AK406" s="5">
        <f t="shared" si="564"/>
        <v>0</v>
      </c>
      <c r="AL406" s="5">
        <f t="shared" si="565"/>
        <v>0</v>
      </c>
      <c r="AM406" s="199"/>
      <c r="AN406" s="16">
        <f t="shared" ref="AN406:AN413" si="580">+AN405</f>
        <v>34</v>
      </c>
      <c r="AO406" s="17">
        <f t="shared" si="576"/>
        <v>5</v>
      </c>
      <c r="AP406" s="18">
        <f t="shared" ca="1" si="577"/>
        <v>56219</v>
      </c>
      <c r="AQ406" s="10">
        <f>IF(Dashboard!$S$20="Float",AQ405+Dashboard!$T$20/12,AQ405)</f>
        <v>4.4999999999999998E-2</v>
      </c>
      <c r="AR406" s="14">
        <f t="shared" si="566"/>
        <v>389</v>
      </c>
      <c r="AS406" s="5">
        <f t="shared" si="567"/>
        <v>-1.0759380787951265E-10</v>
      </c>
      <c r="AT406" s="5">
        <f t="shared" si="550"/>
        <v>-3.6516212276183074E-12</v>
      </c>
      <c r="AU406" s="5">
        <f t="shared" si="551"/>
        <v>4.0347677954817244E-13</v>
      </c>
      <c r="AV406" s="5">
        <f t="shared" si="568"/>
        <v>-4.0550980071664796E-12</v>
      </c>
      <c r="AW406" s="5">
        <f t="shared" si="569"/>
        <v>-1.1164890588667914E-10</v>
      </c>
      <c r="AX406" s="199"/>
    </row>
    <row r="407" spans="1:50">
      <c r="A407" s="73"/>
      <c r="B407" s="572"/>
      <c r="C407" s="16">
        <f t="shared" si="578"/>
        <v>33</v>
      </c>
      <c r="D407" s="17">
        <f t="shared" si="570"/>
        <v>6</v>
      </c>
      <c r="E407" s="18">
        <f t="shared" ca="1" si="571"/>
        <v>56250</v>
      </c>
      <c r="F407" s="10">
        <f>IF(Dashboard!$Q$5="Float",F406+Dashboard!$R$5/12,F406)</f>
        <v>0.04</v>
      </c>
      <c r="G407" s="14">
        <f t="shared" si="552"/>
        <v>390</v>
      </c>
      <c r="H407" s="5">
        <f t="shared" si="553"/>
        <v>0</v>
      </c>
      <c r="I407" s="5">
        <f t="shared" si="538"/>
        <v>0</v>
      </c>
      <c r="J407" s="5">
        <f t="shared" si="539"/>
        <v>0</v>
      </c>
      <c r="K407" s="5">
        <f t="shared" si="554"/>
        <v>0</v>
      </c>
      <c r="L407" s="5">
        <f t="shared" si="555"/>
        <v>0</v>
      </c>
      <c r="M407" s="199"/>
      <c r="N407" s="16">
        <f t="shared" ca="1" si="556"/>
        <v>20</v>
      </c>
      <c r="O407" s="508">
        <f t="shared" ca="1" si="540"/>
        <v>238</v>
      </c>
      <c r="P407" s="16">
        <f t="shared" ca="1" si="541"/>
        <v>20</v>
      </c>
      <c r="Q407" s="17">
        <f t="shared" si="572"/>
        <v>6</v>
      </c>
      <c r="R407" s="18">
        <f t="shared" si="573"/>
        <v>51653</v>
      </c>
      <c r="S407" s="10">
        <f t="shared" si="557"/>
        <v>0.04</v>
      </c>
      <c r="T407" s="14">
        <f t="shared" ca="1" si="558"/>
        <v>203</v>
      </c>
      <c r="U407" s="5">
        <f t="shared" ca="1" si="559"/>
        <v>292831.46057378402</v>
      </c>
      <c r="V407" s="5">
        <f t="shared" ca="1" si="542"/>
        <v>-2387.0764773272963</v>
      </c>
      <c r="W407" s="5">
        <f t="shared" ca="1" si="543"/>
        <v>-976.10486857928015</v>
      </c>
      <c r="X407" s="5">
        <f t="shared" ca="1" si="560"/>
        <v>-1410.971608748016</v>
      </c>
      <c r="Y407" s="5">
        <f t="shared" ca="1" si="561"/>
        <v>291420.488965036</v>
      </c>
      <c r="Z407" s="199"/>
      <c r="AA407" s="16">
        <f t="shared" ca="1" si="549"/>
        <v>33</v>
      </c>
      <c r="AB407" s="508">
        <f t="shared" ca="1" si="544"/>
        <v>389</v>
      </c>
      <c r="AC407" s="16">
        <f t="shared" si="579"/>
        <v>33</v>
      </c>
      <c r="AD407" s="17">
        <f t="shared" si="574"/>
        <v>6</v>
      </c>
      <c r="AE407" s="18">
        <f t="shared" ca="1" si="575"/>
        <v>56250</v>
      </c>
      <c r="AF407" s="10">
        <f>IF(Dashboard!$R$24="Float",AF406+Dashboard!$R$24/12,AF406)</f>
        <v>0.06</v>
      </c>
      <c r="AG407" s="14">
        <f t="shared" si="562"/>
        <v>390</v>
      </c>
      <c r="AH407" s="5">
        <f t="shared" si="563"/>
        <v>0</v>
      </c>
      <c r="AI407" s="5">
        <f t="shared" si="546"/>
        <v>0</v>
      </c>
      <c r="AJ407" s="5">
        <f t="shared" si="547"/>
        <v>0</v>
      </c>
      <c r="AK407" s="5">
        <f t="shared" si="564"/>
        <v>0</v>
      </c>
      <c r="AL407" s="5">
        <f t="shared" si="565"/>
        <v>0</v>
      </c>
      <c r="AM407" s="199"/>
      <c r="AN407" s="16">
        <f t="shared" si="580"/>
        <v>34</v>
      </c>
      <c r="AO407" s="17">
        <f t="shared" si="576"/>
        <v>6</v>
      </c>
      <c r="AP407" s="18">
        <f t="shared" ca="1" si="577"/>
        <v>56250</v>
      </c>
      <c r="AQ407" s="10">
        <f>IF(Dashboard!$S$20="Float",AQ406+Dashboard!$T$20/12,AQ406)</f>
        <v>4.4999999999999998E-2</v>
      </c>
      <c r="AR407" s="14">
        <f t="shared" si="566"/>
        <v>390</v>
      </c>
      <c r="AS407" s="5">
        <f t="shared" si="567"/>
        <v>-1.1164890588667914E-10</v>
      </c>
      <c r="AT407" s="5">
        <f t="shared" si="550"/>
        <v>-3.6516212276183074E-12</v>
      </c>
      <c r="AU407" s="5">
        <f t="shared" si="551"/>
        <v>4.1868339707504673E-13</v>
      </c>
      <c r="AV407" s="5">
        <f t="shared" si="568"/>
        <v>-4.0703046246933543E-12</v>
      </c>
      <c r="AW407" s="5">
        <f t="shared" si="569"/>
        <v>-1.1571921051137249E-10</v>
      </c>
      <c r="AX407" s="199"/>
    </row>
    <row r="408" spans="1:50">
      <c r="A408" s="73"/>
      <c r="B408" s="572"/>
      <c r="C408" s="16">
        <f t="shared" si="578"/>
        <v>33</v>
      </c>
      <c r="D408" s="17">
        <f t="shared" si="570"/>
        <v>7</v>
      </c>
      <c r="E408" s="18">
        <f t="shared" ca="1" si="571"/>
        <v>56281</v>
      </c>
      <c r="F408" s="10">
        <f>IF(Dashboard!$Q$5="Float",F407+Dashboard!$R$5/12,F407)</f>
        <v>0.04</v>
      </c>
      <c r="G408" s="14">
        <f t="shared" si="552"/>
        <v>391</v>
      </c>
      <c r="H408" s="5">
        <f t="shared" si="553"/>
        <v>0</v>
      </c>
      <c r="I408" s="5">
        <f t="shared" si="538"/>
        <v>0</v>
      </c>
      <c r="J408" s="5">
        <f t="shared" si="539"/>
        <v>0</v>
      </c>
      <c r="K408" s="5">
        <f t="shared" si="554"/>
        <v>0</v>
      </c>
      <c r="L408" s="5">
        <f t="shared" si="555"/>
        <v>0</v>
      </c>
      <c r="M408" s="199"/>
      <c r="N408" s="16">
        <f t="shared" ca="1" si="556"/>
        <v>20</v>
      </c>
      <c r="O408" s="508">
        <f t="shared" ca="1" si="540"/>
        <v>239</v>
      </c>
      <c r="P408" s="16">
        <f t="shared" ca="1" si="541"/>
        <v>20</v>
      </c>
      <c r="Q408" s="17">
        <f t="shared" si="572"/>
        <v>7</v>
      </c>
      <c r="R408" s="18">
        <f t="shared" si="573"/>
        <v>51683</v>
      </c>
      <c r="S408" s="10">
        <f t="shared" si="557"/>
        <v>0.04</v>
      </c>
      <c r="T408" s="14">
        <f t="shared" ca="1" si="558"/>
        <v>204</v>
      </c>
      <c r="U408" s="5">
        <f t="shared" ca="1" si="559"/>
        <v>291420.488965036</v>
      </c>
      <c r="V408" s="5">
        <f t="shared" ca="1" si="542"/>
        <v>-2387.0764773272967</v>
      </c>
      <c r="W408" s="5">
        <f t="shared" ca="1" si="543"/>
        <v>-971.40162988345344</v>
      </c>
      <c r="X408" s="5">
        <f t="shared" ca="1" si="560"/>
        <v>-1415.6748474438432</v>
      </c>
      <c r="Y408" s="5">
        <f t="shared" ca="1" si="561"/>
        <v>290004.81411759218</v>
      </c>
      <c r="Z408" s="199"/>
      <c r="AA408" s="16">
        <f t="shared" ca="1" si="549"/>
        <v>33</v>
      </c>
      <c r="AB408" s="508">
        <f t="shared" ca="1" si="544"/>
        <v>390</v>
      </c>
      <c r="AC408" s="16">
        <f t="shared" si="579"/>
        <v>33</v>
      </c>
      <c r="AD408" s="17">
        <f t="shared" si="574"/>
        <v>7</v>
      </c>
      <c r="AE408" s="18">
        <f t="shared" ca="1" si="575"/>
        <v>56281</v>
      </c>
      <c r="AF408" s="10">
        <f>IF(Dashboard!$R$24="Float",AF407+Dashboard!$R$24/12,AF407)</f>
        <v>0.06</v>
      </c>
      <c r="AG408" s="14">
        <f t="shared" si="562"/>
        <v>391</v>
      </c>
      <c r="AH408" s="5">
        <f t="shared" si="563"/>
        <v>0</v>
      </c>
      <c r="AI408" s="5">
        <f t="shared" si="546"/>
        <v>0</v>
      </c>
      <c r="AJ408" s="5">
        <f t="shared" si="547"/>
        <v>0</v>
      </c>
      <c r="AK408" s="5">
        <f t="shared" si="564"/>
        <v>0</v>
      </c>
      <c r="AL408" s="5">
        <f t="shared" si="565"/>
        <v>0</v>
      </c>
      <c r="AM408" s="199"/>
      <c r="AN408" s="16">
        <f t="shared" si="580"/>
        <v>34</v>
      </c>
      <c r="AO408" s="17">
        <f t="shared" si="576"/>
        <v>7</v>
      </c>
      <c r="AP408" s="18">
        <f t="shared" ca="1" si="577"/>
        <v>56281</v>
      </c>
      <c r="AQ408" s="10">
        <f>IF(Dashboard!$S$20="Float",AQ407+Dashboard!$T$20/12,AQ407)</f>
        <v>4.4999999999999998E-2</v>
      </c>
      <c r="AR408" s="14">
        <f t="shared" si="566"/>
        <v>391</v>
      </c>
      <c r="AS408" s="5">
        <f t="shared" si="567"/>
        <v>-1.1571921051137249E-10</v>
      </c>
      <c r="AT408" s="5">
        <f t="shared" si="550"/>
        <v>-3.6516212276183074E-12</v>
      </c>
      <c r="AU408" s="5">
        <f t="shared" si="551"/>
        <v>4.3394703941764684E-13</v>
      </c>
      <c r="AV408" s="5">
        <f t="shared" si="568"/>
        <v>-4.0855682670359541E-12</v>
      </c>
      <c r="AW408" s="5">
        <f t="shared" si="569"/>
        <v>-1.1980477877840844E-10</v>
      </c>
      <c r="AX408" s="199"/>
    </row>
    <row r="409" spans="1:50">
      <c r="A409" s="73"/>
      <c r="B409" s="572"/>
      <c r="C409" s="16">
        <f t="shared" si="578"/>
        <v>33</v>
      </c>
      <c r="D409" s="17">
        <f t="shared" si="570"/>
        <v>8</v>
      </c>
      <c r="E409" s="18">
        <f t="shared" ca="1" si="571"/>
        <v>56309</v>
      </c>
      <c r="F409" s="10">
        <f>IF(Dashboard!$Q$5="Float",F408+Dashboard!$R$5/12,F408)</f>
        <v>0.04</v>
      </c>
      <c r="G409" s="14">
        <f t="shared" si="552"/>
        <v>392</v>
      </c>
      <c r="H409" s="5">
        <f t="shared" si="553"/>
        <v>0</v>
      </c>
      <c r="I409" s="5">
        <f t="shared" si="538"/>
        <v>0</v>
      </c>
      <c r="J409" s="5">
        <f t="shared" si="539"/>
        <v>0</v>
      </c>
      <c r="K409" s="5">
        <f t="shared" si="554"/>
        <v>0</v>
      </c>
      <c r="L409" s="5">
        <f t="shared" si="555"/>
        <v>0</v>
      </c>
      <c r="M409" s="199"/>
      <c r="N409" s="16">
        <f t="shared" ca="1" si="556"/>
        <v>20</v>
      </c>
      <c r="O409" s="508">
        <f t="shared" ca="1" si="540"/>
        <v>240</v>
      </c>
      <c r="P409" s="16">
        <f t="shared" ca="1" si="541"/>
        <v>21</v>
      </c>
      <c r="Q409" s="17">
        <f t="shared" si="572"/>
        <v>8</v>
      </c>
      <c r="R409" s="18">
        <f t="shared" si="573"/>
        <v>51714</v>
      </c>
      <c r="S409" s="10">
        <f t="shared" si="557"/>
        <v>0.04</v>
      </c>
      <c r="T409" s="14">
        <f t="shared" ca="1" si="558"/>
        <v>205</v>
      </c>
      <c r="U409" s="5">
        <f t="shared" ca="1" si="559"/>
        <v>290004.81411759218</v>
      </c>
      <c r="V409" s="5">
        <f t="shared" ca="1" si="542"/>
        <v>-2387.0764773272972</v>
      </c>
      <c r="W409" s="5">
        <f t="shared" ca="1" si="543"/>
        <v>-966.68271372530728</v>
      </c>
      <c r="X409" s="5">
        <f t="shared" ca="1" si="560"/>
        <v>-1420.39376360199</v>
      </c>
      <c r="Y409" s="5">
        <f t="shared" ca="1" si="561"/>
        <v>288584.42035399016</v>
      </c>
      <c r="Z409" s="199"/>
      <c r="AA409" s="16">
        <f t="shared" ca="1" si="549"/>
        <v>33</v>
      </c>
      <c r="AB409" s="508">
        <f t="shared" ca="1" si="544"/>
        <v>391</v>
      </c>
      <c r="AC409" s="16">
        <f t="shared" si="579"/>
        <v>33</v>
      </c>
      <c r="AD409" s="17">
        <f t="shared" si="574"/>
        <v>8</v>
      </c>
      <c r="AE409" s="18">
        <f t="shared" ca="1" si="575"/>
        <v>56309</v>
      </c>
      <c r="AF409" s="10">
        <f>IF(Dashboard!$R$24="Float",AF408+Dashboard!$R$24/12,AF408)</f>
        <v>0.06</v>
      </c>
      <c r="AG409" s="14">
        <f t="shared" si="562"/>
        <v>392</v>
      </c>
      <c r="AH409" s="5">
        <f t="shared" si="563"/>
        <v>0</v>
      </c>
      <c r="AI409" s="5">
        <f t="shared" si="546"/>
        <v>0</v>
      </c>
      <c r="AJ409" s="5">
        <f t="shared" si="547"/>
        <v>0</v>
      </c>
      <c r="AK409" s="5">
        <f t="shared" si="564"/>
        <v>0</v>
      </c>
      <c r="AL409" s="5">
        <f t="shared" si="565"/>
        <v>0</v>
      </c>
      <c r="AM409" s="199"/>
      <c r="AN409" s="16">
        <f t="shared" si="580"/>
        <v>34</v>
      </c>
      <c r="AO409" s="17">
        <f t="shared" si="576"/>
        <v>8</v>
      </c>
      <c r="AP409" s="18">
        <f t="shared" ca="1" si="577"/>
        <v>56309</v>
      </c>
      <c r="AQ409" s="10">
        <f>IF(Dashboard!$S$20="Float",AQ408+Dashboard!$T$20/12,AQ408)</f>
        <v>4.4999999999999998E-2</v>
      </c>
      <c r="AR409" s="14">
        <f t="shared" si="566"/>
        <v>392</v>
      </c>
      <c r="AS409" s="5">
        <f t="shared" si="567"/>
        <v>-1.1980477877840844E-10</v>
      </c>
      <c r="AT409" s="5">
        <f t="shared" si="550"/>
        <v>-3.6516212276183074E-12</v>
      </c>
      <c r="AU409" s="5">
        <f t="shared" si="551"/>
        <v>4.4926792041903159E-13</v>
      </c>
      <c r="AV409" s="5">
        <f t="shared" si="568"/>
        <v>-4.1008891480373389E-12</v>
      </c>
      <c r="AW409" s="5">
        <f t="shared" si="569"/>
        <v>-1.2390566792644578E-10</v>
      </c>
      <c r="AX409" s="199"/>
    </row>
    <row r="410" spans="1:50">
      <c r="A410" s="73"/>
      <c r="B410" s="572"/>
      <c r="C410" s="16">
        <f t="shared" si="578"/>
        <v>33</v>
      </c>
      <c r="D410" s="17">
        <f t="shared" si="570"/>
        <v>9</v>
      </c>
      <c r="E410" s="18">
        <f t="shared" ca="1" si="571"/>
        <v>56340</v>
      </c>
      <c r="F410" s="10">
        <f>IF(Dashboard!$Q$5="Float",F409+Dashboard!$R$5/12,F409)</f>
        <v>0.04</v>
      </c>
      <c r="G410" s="14">
        <f t="shared" si="552"/>
        <v>393</v>
      </c>
      <c r="H410" s="5">
        <f t="shared" si="553"/>
        <v>0</v>
      </c>
      <c r="I410" s="5">
        <f t="shared" si="538"/>
        <v>0</v>
      </c>
      <c r="J410" s="5">
        <f t="shared" si="539"/>
        <v>0</v>
      </c>
      <c r="K410" s="5">
        <f t="shared" si="554"/>
        <v>0</v>
      </c>
      <c r="L410" s="5">
        <f t="shared" si="555"/>
        <v>0</v>
      </c>
      <c r="M410" s="199"/>
      <c r="N410" s="16">
        <f t="shared" ca="1" si="556"/>
        <v>21</v>
      </c>
      <c r="O410" s="508">
        <f t="shared" ca="1" si="540"/>
        <v>241</v>
      </c>
      <c r="P410" s="16">
        <f t="shared" ca="1" si="541"/>
        <v>21</v>
      </c>
      <c r="Q410" s="17">
        <f t="shared" si="572"/>
        <v>9</v>
      </c>
      <c r="R410" s="18">
        <f t="shared" si="573"/>
        <v>51745</v>
      </c>
      <c r="S410" s="10">
        <f t="shared" si="557"/>
        <v>0.04</v>
      </c>
      <c r="T410" s="14">
        <f t="shared" ca="1" si="558"/>
        <v>206</v>
      </c>
      <c r="U410" s="5">
        <f t="shared" ca="1" si="559"/>
        <v>288584.42035399016</v>
      </c>
      <c r="V410" s="5">
        <f t="shared" ca="1" si="542"/>
        <v>-2387.0764773272972</v>
      </c>
      <c r="W410" s="5">
        <f t="shared" ca="1" si="543"/>
        <v>-961.94806784663388</v>
      </c>
      <c r="X410" s="5">
        <f t="shared" ca="1" si="560"/>
        <v>-1425.1284094806633</v>
      </c>
      <c r="Y410" s="5">
        <f t="shared" ca="1" si="561"/>
        <v>287159.29194450949</v>
      </c>
      <c r="Z410" s="199"/>
      <c r="AA410" s="16">
        <f t="shared" ca="1" si="549"/>
        <v>33</v>
      </c>
      <c r="AB410" s="508">
        <f t="shared" ca="1" si="544"/>
        <v>392</v>
      </c>
      <c r="AC410" s="16">
        <f t="shared" si="579"/>
        <v>33</v>
      </c>
      <c r="AD410" s="17">
        <f t="shared" si="574"/>
        <v>9</v>
      </c>
      <c r="AE410" s="18">
        <f t="shared" ca="1" si="575"/>
        <v>56340</v>
      </c>
      <c r="AF410" s="10">
        <f>IF(Dashboard!$R$24="Float",AF409+Dashboard!$R$24/12,AF409)</f>
        <v>0.06</v>
      </c>
      <c r="AG410" s="14">
        <f t="shared" si="562"/>
        <v>393</v>
      </c>
      <c r="AH410" s="5">
        <f t="shared" si="563"/>
        <v>0</v>
      </c>
      <c r="AI410" s="5">
        <f t="shared" si="546"/>
        <v>0</v>
      </c>
      <c r="AJ410" s="5">
        <f t="shared" si="547"/>
        <v>0</v>
      </c>
      <c r="AK410" s="5">
        <f t="shared" si="564"/>
        <v>0</v>
      </c>
      <c r="AL410" s="5">
        <f t="shared" si="565"/>
        <v>0</v>
      </c>
      <c r="AM410" s="199"/>
      <c r="AN410" s="16">
        <f t="shared" si="580"/>
        <v>34</v>
      </c>
      <c r="AO410" s="17">
        <f t="shared" si="576"/>
        <v>9</v>
      </c>
      <c r="AP410" s="18">
        <f t="shared" ca="1" si="577"/>
        <v>56340</v>
      </c>
      <c r="AQ410" s="10">
        <f>IF(Dashboard!$S$20="Float",AQ409+Dashboard!$T$20/12,AQ409)</f>
        <v>4.4999999999999998E-2</v>
      </c>
      <c r="AR410" s="14">
        <f t="shared" si="566"/>
        <v>393</v>
      </c>
      <c r="AS410" s="5">
        <f t="shared" si="567"/>
        <v>-1.2390566792644578E-10</v>
      </c>
      <c r="AT410" s="5">
        <f t="shared" si="550"/>
        <v>-3.6516212276183082E-12</v>
      </c>
      <c r="AU410" s="5">
        <f t="shared" si="551"/>
        <v>4.6464625472417166E-13</v>
      </c>
      <c r="AV410" s="5">
        <f t="shared" si="568"/>
        <v>-4.11626748234248E-12</v>
      </c>
      <c r="AW410" s="5">
        <f t="shared" si="569"/>
        <v>-1.2802193540878826E-10</v>
      </c>
      <c r="AX410" s="199"/>
    </row>
    <row r="411" spans="1:50">
      <c r="A411" s="73"/>
      <c r="B411" s="572"/>
      <c r="C411" s="16">
        <f t="shared" si="578"/>
        <v>33</v>
      </c>
      <c r="D411" s="17">
        <f t="shared" si="570"/>
        <v>10</v>
      </c>
      <c r="E411" s="18">
        <f t="shared" ca="1" si="571"/>
        <v>56370</v>
      </c>
      <c r="F411" s="10">
        <f>IF(Dashboard!$Q$5="Float",F410+Dashboard!$R$5/12,F410)</f>
        <v>0.04</v>
      </c>
      <c r="G411" s="14">
        <f t="shared" si="552"/>
        <v>394</v>
      </c>
      <c r="H411" s="5">
        <f t="shared" si="553"/>
        <v>0</v>
      </c>
      <c r="I411" s="5">
        <f t="shared" si="538"/>
        <v>0</v>
      </c>
      <c r="J411" s="5">
        <f t="shared" si="539"/>
        <v>0</v>
      </c>
      <c r="K411" s="5">
        <f t="shared" si="554"/>
        <v>0</v>
      </c>
      <c r="L411" s="5">
        <f t="shared" si="555"/>
        <v>0</v>
      </c>
      <c r="M411" s="199"/>
      <c r="N411" s="16">
        <f t="shared" ca="1" si="556"/>
        <v>21</v>
      </c>
      <c r="O411" s="508">
        <f t="shared" ca="1" si="540"/>
        <v>242</v>
      </c>
      <c r="P411" s="16">
        <f t="shared" ca="1" si="541"/>
        <v>21</v>
      </c>
      <c r="Q411" s="17">
        <f t="shared" si="572"/>
        <v>10</v>
      </c>
      <c r="R411" s="18">
        <f t="shared" si="573"/>
        <v>51775</v>
      </c>
      <c r="S411" s="10">
        <f t="shared" si="557"/>
        <v>0.04</v>
      </c>
      <c r="T411" s="14">
        <f t="shared" ca="1" si="558"/>
        <v>207</v>
      </c>
      <c r="U411" s="5">
        <f t="shared" ca="1" si="559"/>
        <v>287159.29194450949</v>
      </c>
      <c r="V411" s="5">
        <f t="shared" ca="1" si="542"/>
        <v>-2387.0764773272963</v>
      </c>
      <c r="W411" s="5">
        <f t="shared" ca="1" si="543"/>
        <v>-957.19763981503172</v>
      </c>
      <c r="X411" s="5">
        <f t="shared" ca="1" si="560"/>
        <v>-1429.8788375122645</v>
      </c>
      <c r="Y411" s="5">
        <f t="shared" ca="1" si="561"/>
        <v>285729.41310699721</v>
      </c>
      <c r="Z411" s="199"/>
      <c r="AA411" s="16">
        <f t="shared" ca="1" si="549"/>
        <v>33</v>
      </c>
      <c r="AB411" s="508">
        <f t="shared" ca="1" si="544"/>
        <v>393</v>
      </c>
      <c r="AC411" s="16">
        <f t="shared" si="579"/>
        <v>33</v>
      </c>
      <c r="AD411" s="17">
        <f t="shared" si="574"/>
        <v>10</v>
      </c>
      <c r="AE411" s="18">
        <f t="shared" ca="1" si="575"/>
        <v>56370</v>
      </c>
      <c r="AF411" s="10">
        <f>IF(Dashboard!$R$24="Float",AF410+Dashboard!$R$24/12,AF410)</f>
        <v>0.06</v>
      </c>
      <c r="AG411" s="14">
        <f t="shared" si="562"/>
        <v>394</v>
      </c>
      <c r="AH411" s="5">
        <f t="shared" si="563"/>
        <v>0</v>
      </c>
      <c r="AI411" s="5">
        <f t="shared" si="546"/>
        <v>0</v>
      </c>
      <c r="AJ411" s="5">
        <f t="shared" si="547"/>
        <v>0</v>
      </c>
      <c r="AK411" s="5">
        <f t="shared" si="564"/>
        <v>0</v>
      </c>
      <c r="AL411" s="5">
        <f t="shared" si="565"/>
        <v>0</v>
      </c>
      <c r="AM411" s="199"/>
      <c r="AN411" s="16">
        <f t="shared" si="580"/>
        <v>34</v>
      </c>
      <c r="AO411" s="17">
        <f t="shared" si="576"/>
        <v>10</v>
      </c>
      <c r="AP411" s="18">
        <f t="shared" ca="1" si="577"/>
        <v>56370</v>
      </c>
      <c r="AQ411" s="10">
        <f>IF(Dashboard!$S$20="Float",AQ410+Dashboard!$T$20/12,AQ410)</f>
        <v>4.4999999999999998E-2</v>
      </c>
      <c r="AR411" s="14">
        <f t="shared" si="566"/>
        <v>394</v>
      </c>
      <c r="AS411" s="5">
        <f t="shared" si="567"/>
        <v>-1.2802193540878826E-10</v>
      </c>
      <c r="AT411" s="5">
        <f t="shared" si="550"/>
        <v>-3.6516212276183074E-12</v>
      </c>
      <c r="AU411" s="5">
        <f t="shared" si="551"/>
        <v>4.8008225778295601E-13</v>
      </c>
      <c r="AV411" s="5">
        <f t="shared" si="568"/>
        <v>-4.1317034854012637E-12</v>
      </c>
      <c r="AW411" s="5">
        <f t="shared" si="569"/>
        <v>-1.3215363889418953E-10</v>
      </c>
      <c r="AX411" s="199"/>
    </row>
    <row r="412" spans="1:50">
      <c r="A412" s="73"/>
      <c r="B412" s="572"/>
      <c r="C412" s="16">
        <f t="shared" si="578"/>
        <v>33</v>
      </c>
      <c r="D412" s="17">
        <f t="shared" si="570"/>
        <v>11</v>
      </c>
      <c r="E412" s="18">
        <f t="shared" ca="1" si="571"/>
        <v>56401</v>
      </c>
      <c r="F412" s="10">
        <f>IF(Dashboard!$Q$5="Float",F411+Dashboard!$R$5/12,F411)</f>
        <v>0.04</v>
      </c>
      <c r="G412" s="14">
        <f t="shared" si="552"/>
        <v>395</v>
      </c>
      <c r="H412" s="5">
        <f t="shared" si="553"/>
        <v>0</v>
      </c>
      <c r="I412" s="5">
        <f t="shared" si="538"/>
        <v>0</v>
      </c>
      <c r="J412" s="5">
        <f t="shared" si="539"/>
        <v>0</v>
      </c>
      <c r="K412" s="5">
        <f t="shared" si="554"/>
        <v>0</v>
      </c>
      <c r="L412" s="5">
        <f t="shared" si="555"/>
        <v>0</v>
      </c>
      <c r="M412" s="199"/>
      <c r="N412" s="16">
        <f t="shared" ca="1" si="556"/>
        <v>21</v>
      </c>
      <c r="O412" s="508">
        <f t="shared" ca="1" si="540"/>
        <v>243</v>
      </c>
      <c r="P412" s="16">
        <f t="shared" ca="1" si="541"/>
        <v>21</v>
      </c>
      <c r="Q412" s="17">
        <f t="shared" si="572"/>
        <v>11</v>
      </c>
      <c r="R412" s="18">
        <f t="shared" si="573"/>
        <v>51806</v>
      </c>
      <c r="S412" s="10">
        <f t="shared" si="557"/>
        <v>0.04</v>
      </c>
      <c r="T412" s="14">
        <f t="shared" ca="1" si="558"/>
        <v>208</v>
      </c>
      <c r="U412" s="5">
        <f t="shared" ca="1" si="559"/>
        <v>285729.41310699721</v>
      </c>
      <c r="V412" s="5">
        <f t="shared" ca="1" si="542"/>
        <v>-2387.0764773272967</v>
      </c>
      <c r="W412" s="5">
        <f t="shared" ca="1" si="543"/>
        <v>-952.43137702332399</v>
      </c>
      <c r="X412" s="5">
        <f t="shared" ca="1" si="560"/>
        <v>-1434.6451003039729</v>
      </c>
      <c r="Y412" s="5">
        <f t="shared" ca="1" si="561"/>
        <v>284294.76800669322</v>
      </c>
      <c r="Z412" s="199"/>
      <c r="AA412" s="16">
        <f t="shared" ca="1" si="549"/>
        <v>33</v>
      </c>
      <c r="AB412" s="508">
        <f t="shared" ca="1" si="544"/>
        <v>394</v>
      </c>
      <c r="AC412" s="16">
        <f t="shared" si="579"/>
        <v>33</v>
      </c>
      <c r="AD412" s="17">
        <f t="shared" si="574"/>
        <v>11</v>
      </c>
      <c r="AE412" s="18">
        <f t="shared" ca="1" si="575"/>
        <v>56401</v>
      </c>
      <c r="AF412" s="10">
        <f>IF(Dashboard!$R$24="Float",AF411+Dashboard!$R$24/12,AF411)</f>
        <v>0.06</v>
      </c>
      <c r="AG412" s="14">
        <f t="shared" si="562"/>
        <v>395</v>
      </c>
      <c r="AH412" s="5">
        <f t="shared" si="563"/>
        <v>0</v>
      </c>
      <c r="AI412" s="5">
        <f t="shared" si="546"/>
        <v>0</v>
      </c>
      <c r="AJ412" s="5">
        <f t="shared" si="547"/>
        <v>0</v>
      </c>
      <c r="AK412" s="5">
        <f t="shared" si="564"/>
        <v>0</v>
      </c>
      <c r="AL412" s="5">
        <f t="shared" si="565"/>
        <v>0</v>
      </c>
      <c r="AM412" s="199"/>
      <c r="AN412" s="16">
        <f t="shared" si="580"/>
        <v>34</v>
      </c>
      <c r="AO412" s="17">
        <f t="shared" si="576"/>
        <v>11</v>
      </c>
      <c r="AP412" s="18">
        <f t="shared" ca="1" si="577"/>
        <v>56401</v>
      </c>
      <c r="AQ412" s="10">
        <f>IF(Dashboard!$S$20="Float",AQ411+Dashboard!$T$20/12,AQ411)</f>
        <v>4.4999999999999998E-2</v>
      </c>
      <c r="AR412" s="14">
        <f t="shared" si="566"/>
        <v>395</v>
      </c>
      <c r="AS412" s="5">
        <f t="shared" si="567"/>
        <v>-1.3215363889418953E-10</v>
      </c>
      <c r="AT412" s="5">
        <f t="shared" si="550"/>
        <v>-3.6516212276183074E-12</v>
      </c>
      <c r="AU412" s="5">
        <f t="shared" si="551"/>
        <v>4.955761458532107E-13</v>
      </c>
      <c r="AV412" s="5">
        <f t="shared" si="568"/>
        <v>-4.1471973734715181E-12</v>
      </c>
      <c r="AW412" s="5">
        <f t="shared" si="569"/>
        <v>-1.3630083626766104E-10</v>
      </c>
      <c r="AX412" s="199"/>
    </row>
    <row r="413" spans="1:50">
      <c r="A413" s="73"/>
      <c r="B413" s="572"/>
      <c r="C413" s="16">
        <f t="shared" si="578"/>
        <v>33</v>
      </c>
      <c r="D413" s="17">
        <f t="shared" si="570"/>
        <v>12</v>
      </c>
      <c r="E413" s="18">
        <f t="shared" ca="1" si="571"/>
        <v>56431</v>
      </c>
      <c r="F413" s="10">
        <f>IF(Dashboard!$Q$5="Float",F412+Dashboard!$R$5/12,F412)</f>
        <v>0.04</v>
      </c>
      <c r="G413" s="14">
        <f t="shared" si="552"/>
        <v>396</v>
      </c>
      <c r="H413" s="5">
        <f t="shared" si="553"/>
        <v>0</v>
      </c>
      <c r="I413" s="5">
        <f t="shared" si="538"/>
        <v>0</v>
      </c>
      <c r="J413" s="5">
        <f t="shared" si="539"/>
        <v>0</v>
      </c>
      <c r="K413" s="5">
        <f t="shared" si="554"/>
        <v>0</v>
      </c>
      <c r="L413" s="5">
        <f t="shared" si="555"/>
        <v>0</v>
      </c>
      <c r="M413" s="199"/>
      <c r="N413" s="16">
        <f t="shared" ca="1" si="556"/>
        <v>21</v>
      </c>
      <c r="O413" s="508">
        <f t="shared" ca="1" si="540"/>
        <v>244</v>
      </c>
      <c r="P413" s="16">
        <f t="shared" ca="1" si="541"/>
        <v>21</v>
      </c>
      <c r="Q413" s="17">
        <f t="shared" si="572"/>
        <v>12</v>
      </c>
      <c r="R413" s="18">
        <f t="shared" si="573"/>
        <v>51836</v>
      </c>
      <c r="S413" s="10">
        <f t="shared" si="557"/>
        <v>0.04</v>
      </c>
      <c r="T413" s="14">
        <f t="shared" ca="1" si="558"/>
        <v>209</v>
      </c>
      <c r="U413" s="5">
        <f t="shared" ca="1" si="559"/>
        <v>284294.76800669322</v>
      </c>
      <c r="V413" s="5">
        <f t="shared" ca="1" si="542"/>
        <v>-2387.0764773272963</v>
      </c>
      <c r="W413" s="5">
        <f t="shared" ca="1" si="543"/>
        <v>-947.64922668897736</v>
      </c>
      <c r="X413" s="5">
        <f t="shared" ca="1" si="560"/>
        <v>-1439.427250638319</v>
      </c>
      <c r="Y413" s="5">
        <f t="shared" ca="1" si="561"/>
        <v>282855.34075605491</v>
      </c>
      <c r="Z413" s="199"/>
      <c r="AA413" s="16">
        <f t="shared" ca="1" si="549"/>
        <v>33</v>
      </c>
      <c r="AB413" s="508">
        <f t="shared" ca="1" si="544"/>
        <v>395</v>
      </c>
      <c r="AC413" s="16">
        <f t="shared" si="579"/>
        <v>33</v>
      </c>
      <c r="AD413" s="17">
        <f t="shared" si="574"/>
        <v>12</v>
      </c>
      <c r="AE413" s="18">
        <f t="shared" ca="1" si="575"/>
        <v>56431</v>
      </c>
      <c r="AF413" s="10">
        <f>IF(Dashboard!$R$24="Float",AF412+Dashboard!$R$24/12,AF412)</f>
        <v>0.06</v>
      </c>
      <c r="AG413" s="14">
        <f t="shared" si="562"/>
        <v>396</v>
      </c>
      <c r="AH413" s="5">
        <f t="shared" si="563"/>
        <v>0</v>
      </c>
      <c r="AI413" s="5">
        <f t="shared" si="546"/>
        <v>0</v>
      </c>
      <c r="AJ413" s="5">
        <f t="shared" si="547"/>
        <v>0</v>
      </c>
      <c r="AK413" s="5">
        <f t="shared" si="564"/>
        <v>0</v>
      </c>
      <c r="AL413" s="5">
        <f t="shared" si="565"/>
        <v>0</v>
      </c>
      <c r="AM413" s="199"/>
      <c r="AN413" s="16">
        <f t="shared" si="580"/>
        <v>34</v>
      </c>
      <c r="AO413" s="17">
        <f t="shared" si="576"/>
        <v>12</v>
      </c>
      <c r="AP413" s="18">
        <f t="shared" ca="1" si="577"/>
        <v>56431</v>
      </c>
      <c r="AQ413" s="10">
        <f>IF(Dashboard!$S$20="Float",AQ412+Dashboard!$T$20/12,AQ412)</f>
        <v>4.4999999999999998E-2</v>
      </c>
      <c r="AR413" s="14">
        <f t="shared" si="566"/>
        <v>396</v>
      </c>
      <c r="AS413" s="5">
        <f t="shared" si="567"/>
        <v>-1.3630083626766104E-10</v>
      </c>
      <c r="AT413" s="5">
        <f t="shared" si="550"/>
        <v>-3.6516212276183074E-12</v>
      </c>
      <c r="AU413" s="5">
        <f t="shared" si="551"/>
        <v>5.1112813600372892E-13</v>
      </c>
      <c r="AV413" s="5">
        <f t="shared" si="568"/>
        <v>-4.162749363622036E-12</v>
      </c>
      <c r="AW413" s="5">
        <f t="shared" si="569"/>
        <v>-1.4046358563128307E-10</v>
      </c>
      <c r="AX413" s="199"/>
    </row>
    <row r="414" spans="1:50" ht="12.75" customHeight="1">
      <c r="A414" s="73"/>
      <c r="B414" s="570">
        <f>+C414</f>
        <v>34</v>
      </c>
      <c r="C414" s="200">
        <f t="shared" ref="C414" si="581">+C413+1</f>
        <v>34</v>
      </c>
      <c r="D414" s="201">
        <v>1</v>
      </c>
      <c r="E414" s="202">
        <f t="shared" ca="1" si="571"/>
        <v>56462</v>
      </c>
      <c r="F414" s="203">
        <f>IF(Dashboard!$Q$5="Float",F413+Dashboard!$R$5/12,F413)</f>
        <v>0.04</v>
      </c>
      <c r="G414" s="204">
        <f t="shared" si="552"/>
        <v>397</v>
      </c>
      <c r="H414" s="205">
        <f t="shared" si="553"/>
        <v>0</v>
      </c>
      <c r="I414" s="205">
        <f t="shared" si="538"/>
        <v>0</v>
      </c>
      <c r="J414" s="205">
        <f t="shared" si="539"/>
        <v>0</v>
      </c>
      <c r="K414" s="205">
        <f t="shared" si="554"/>
        <v>0</v>
      </c>
      <c r="L414" s="205">
        <f t="shared" si="555"/>
        <v>0</v>
      </c>
      <c r="M414" s="199"/>
      <c r="N414" s="200">
        <f t="shared" ca="1" si="556"/>
        <v>21</v>
      </c>
      <c r="O414" s="509">
        <f t="shared" ca="1" si="540"/>
        <v>245</v>
      </c>
      <c r="P414" s="200">
        <f t="shared" ca="1" si="541"/>
        <v>21</v>
      </c>
      <c r="Q414" s="201">
        <v>1</v>
      </c>
      <c r="R414" s="202">
        <f t="shared" si="573"/>
        <v>51867</v>
      </c>
      <c r="S414" s="203">
        <f t="shared" si="557"/>
        <v>0.04</v>
      </c>
      <c r="T414" s="204">
        <f t="shared" ca="1" si="558"/>
        <v>210</v>
      </c>
      <c r="U414" s="205">
        <f t="shared" ca="1" si="559"/>
        <v>282855.34075605491</v>
      </c>
      <c r="V414" s="205">
        <f t="shared" ca="1" si="542"/>
        <v>-2387.0764773272967</v>
      </c>
      <c r="W414" s="205">
        <f t="shared" ca="1" si="543"/>
        <v>-942.85113585351644</v>
      </c>
      <c r="X414" s="205">
        <f t="shared" ca="1" si="560"/>
        <v>-1444.2253414737802</v>
      </c>
      <c r="Y414" s="205">
        <f t="shared" ca="1" si="561"/>
        <v>281411.11541458115</v>
      </c>
      <c r="Z414" s="199"/>
      <c r="AA414" s="200">
        <f t="shared" ca="1" si="549"/>
        <v>33</v>
      </c>
      <c r="AB414" s="509">
        <f t="shared" ca="1" si="544"/>
        <v>396</v>
      </c>
      <c r="AC414" s="200">
        <f t="shared" ref="AC414" si="582">+AC413+1</f>
        <v>34</v>
      </c>
      <c r="AD414" s="201">
        <v>1</v>
      </c>
      <c r="AE414" s="202">
        <f t="shared" ca="1" si="575"/>
        <v>56462</v>
      </c>
      <c r="AF414" s="203">
        <f>IF(Dashboard!$R$24="Float",AF413+Dashboard!$R$24/12,AF413)</f>
        <v>0.06</v>
      </c>
      <c r="AG414" s="204">
        <f t="shared" si="562"/>
        <v>397</v>
      </c>
      <c r="AH414" s="205">
        <f t="shared" si="563"/>
        <v>0</v>
      </c>
      <c r="AI414" s="205">
        <f t="shared" si="546"/>
        <v>0</v>
      </c>
      <c r="AJ414" s="205">
        <f t="shared" si="547"/>
        <v>0</v>
      </c>
      <c r="AK414" s="205">
        <f t="shared" si="564"/>
        <v>0</v>
      </c>
      <c r="AL414" s="205">
        <f t="shared" si="565"/>
        <v>0</v>
      </c>
      <c r="AM414" s="199"/>
      <c r="AN414" s="200">
        <f t="shared" ref="AN414" si="583">+AN413+1</f>
        <v>35</v>
      </c>
      <c r="AO414" s="201">
        <v>1</v>
      </c>
      <c r="AP414" s="202">
        <f t="shared" ca="1" si="577"/>
        <v>56462</v>
      </c>
      <c r="AQ414" s="203">
        <f>IF(Dashboard!$S$20="Float",AQ413+Dashboard!$T$20/12,AQ413)</f>
        <v>4.4999999999999998E-2</v>
      </c>
      <c r="AR414" s="204">
        <f t="shared" si="566"/>
        <v>397</v>
      </c>
      <c r="AS414" s="205">
        <f t="shared" si="567"/>
        <v>-1.4046358563128307E-10</v>
      </c>
      <c r="AT414" s="205">
        <f t="shared" si="550"/>
        <v>-3.6516212276183074E-12</v>
      </c>
      <c r="AU414" s="205">
        <f t="shared" si="551"/>
        <v>5.2673844611731149E-13</v>
      </c>
      <c r="AV414" s="205">
        <f t="shared" si="568"/>
        <v>-4.1783596737356191E-12</v>
      </c>
      <c r="AW414" s="205">
        <f t="shared" si="569"/>
        <v>-1.446419453050187E-10</v>
      </c>
      <c r="AX414" s="199"/>
    </row>
    <row r="415" spans="1:50">
      <c r="A415" s="73"/>
      <c r="B415" s="570"/>
      <c r="C415" s="200">
        <f>+C414</f>
        <v>34</v>
      </c>
      <c r="D415" s="201">
        <f>+D414+1</f>
        <v>2</v>
      </c>
      <c r="E415" s="202">
        <f t="shared" ca="1" si="571"/>
        <v>56493</v>
      </c>
      <c r="F415" s="203">
        <f>IF(Dashboard!$Q$5="Float",F414+Dashboard!$R$5/12,F414)</f>
        <v>0.04</v>
      </c>
      <c r="G415" s="204">
        <f t="shared" si="552"/>
        <v>398</v>
      </c>
      <c r="H415" s="205">
        <f t="shared" si="553"/>
        <v>0</v>
      </c>
      <c r="I415" s="205">
        <f t="shared" si="538"/>
        <v>0</v>
      </c>
      <c r="J415" s="205">
        <f t="shared" si="539"/>
        <v>0</v>
      </c>
      <c r="K415" s="205">
        <f t="shared" si="554"/>
        <v>0</v>
      </c>
      <c r="L415" s="205">
        <f t="shared" si="555"/>
        <v>0</v>
      </c>
      <c r="M415" s="199"/>
      <c r="N415" s="200">
        <f t="shared" ca="1" si="556"/>
        <v>21</v>
      </c>
      <c r="O415" s="509">
        <f t="shared" ca="1" si="540"/>
        <v>246</v>
      </c>
      <c r="P415" s="200">
        <f t="shared" ca="1" si="541"/>
        <v>21</v>
      </c>
      <c r="Q415" s="201">
        <f>+Q414+1</f>
        <v>2</v>
      </c>
      <c r="R415" s="202">
        <f t="shared" si="573"/>
        <v>51898</v>
      </c>
      <c r="S415" s="203">
        <f t="shared" si="557"/>
        <v>0.04</v>
      </c>
      <c r="T415" s="204">
        <f t="shared" ca="1" si="558"/>
        <v>211</v>
      </c>
      <c r="U415" s="205">
        <f t="shared" ca="1" si="559"/>
        <v>281411.11541458115</v>
      </c>
      <c r="V415" s="205">
        <f t="shared" ca="1" si="542"/>
        <v>-2387.0764773272967</v>
      </c>
      <c r="W415" s="205">
        <f t="shared" ca="1" si="543"/>
        <v>-938.0370513819372</v>
      </c>
      <c r="X415" s="205">
        <f t="shared" ca="1" si="560"/>
        <v>-1449.0394259453597</v>
      </c>
      <c r="Y415" s="205">
        <f t="shared" ca="1" si="561"/>
        <v>279962.07598863577</v>
      </c>
      <c r="Z415" s="199"/>
      <c r="AA415" s="200">
        <f t="shared" ca="1" si="549"/>
        <v>34</v>
      </c>
      <c r="AB415" s="509">
        <f t="shared" ca="1" si="544"/>
        <v>397</v>
      </c>
      <c r="AC415" s="200">
        <f>+AC414</f>
        <v>34</v>
      </c>
      <c r="AD415" s="201">
        <f>+AD414+1</f>
        <v>2</v>
      </c>
      <c r="AE415" s="202">
        <f t="shared" ca="1" si="575"/>
        <v>56493</v>
      </c>
      <c r="AF415" s="203">
        <f>IF(Dashboard!$R$24="Float",AF414+Dashboard!$R$24/12,AF414)</f>
        <v>0.06</v>
      </c>
      <c r="AG415" s="204">
        <f t="shared" si="562"/>
        <v>398</v>
      </c>
      <c r="AH415" s="205">
        <f t="shared" si="563"/>
        <v>0</v>
      </c>
      <c r="AI415" s="205">
        <f t="shared" si="546"/>
        <v>0</v>
      </c>
      <c r="AJ415" s="205">
        <f t="shared" si="547"/>
        <v>0</v>
      </c>
      <c r="AK415" s="205">
        <f t="shared" si="564"/>
        <v>0</v>
      </c>
      <c r="AL415" s="205">
        <f t="shared" si="565"/>
        <v>0</v>
      </c>
      <c r="AM415" s="199"/>
      <c r="AN415" s="200">
        <f>+AN414</f>
        <v>35</v>
      </c>
      <c r="AO415" s="201">
        <f>+AO414+1</f>
        <v>2</v>
      </c>
      <c r="AP415" s="202">
        <f t="shared" ca="1" si="577"/>
        <v>56493</v>
      </c>
      <c r="AQ415" s="203">
        <f>IF(Dashboard!$S$20="Float",AQ414+Dashboard!$T$20/12,AQ414)</f>
        <v>4.4999999999999998E-2</v>
      </c>
      <c r="AR415" s="204">
        <f t="shared" si="566"/>
        <v>398</v>
      </c>
      <c r="AS415" s="205">
        <f t="shared" si="567"/>
        <v>-1.446419453050187E-10</v>
      </c>
      <c r="AT415" s="205">
        <f t="shared" si="550"/>
        <v>-3.6516212276183074E-12</v>
      </c>
      <c r="AU415" s="205">
        <f t="shared" si="551"/>
        <v>5.424072948938201E-13</v>
      </c>
      <c r="AV415" s="205">
        <f t="shared" si="568"/>
        <v>-4.1940285225121271E-12</v>
      </c>
      <c r="AW415" s="205">
        <f t="shared" si="569"/>
        <v>-1.4883597382753082E-10</v>
      </c>
      <c r="AX415" s="199"/>
    </row>
    <row r="416" spans="1:50">
      <c r="A416" s="73"/>
      <c r="B416" s="570"/>
      <c r="C416" s="200">
        <f>+C415</f>
        <v>34</v>
      </c>
      <c r="D416" s="201">
        <f>+D415+1</f>
        <v>3</v>
      </c>
      <c r="E416" s="202">
        <f t="shared" ca="1" si="571"/>
        <v>56523</v>
      </c>
      <c r="F416" s="203">
        <f>IF(Dashboard!$Q$5="Float",F415+Dashboard!$R$5/12,F415)</f>
        <v>0.04</v>
      </c>
      <c r="G416" s="204">
        <f t="shared" si="552"/>
        <v>399</v>
      </c>
      <c r="H416" s="205">
        <f t="shared" si="553"/>
        <v>0</v>
      </c>
      <c r="I416" s="205">
        <f t="shared" si="538"/>
        <v>0</v>
      </c>
      <c r="J416" s="205">
        <f t="shared" si="539"/>
        <v>0</v>
      </c>
      <c r="K416" s="205">
        <f t="shared" si="554"/>
        <v>0</v>
      </c>
      <c r="L416" s="205">
        <f t="shared" si="555"/>
        <v>0</v>
      </c>
      <c r="M416" s="199"/>
      <c r="N416" s="200">
        <f t="shared" ca="1" si="556"/>
        <v>21</v>
      </c>
      <c r="O416" s="509">
        <f t="shared" ca="1" si="540"/>
        <v>247</v>
      </c>
      <c r="P416" s="200">
        <f t="shared" ca="1" si="541"/>
        <v>21</v>
      </c>
      <c r="Q416" s="201">
        <f>+Q415+1</f>
        <v>3</v>
      </c>
      <c r="R416" s="202">
        <f t="shared" si="573"/>
        <v>51926</v>
      </c>
      <c r="S416" s="203">
        <f t="shared" si="557"/>
        <v>0.04</v>
      </c>
      <c r="T416" s="204">
        <f t="shared" ca="1" si="558"/>
        <v>212</v>
      </c>
      <c r="U416" s="205">
        <f t="shared" ca="1" si="559"/>
        <v>279962.07598863577</v>
      </c>
      <c r="V416" s="205">
        <f t="shared" ca="1" si="542"/>
        <v>-2387.0764773272963</v>
      </c>
      <c r="W416" s="205">
        <f t="shared" ca="1" si="543"/>
        <v>-933.20691996211929</v>
      </c>
      <c r="X416" s="205">
        <f t="shared" ca="1" si="560"/>
        <v>-1453.8695573651771</v>
      </c>
      <c r="Y416" s="205">
        <f t="shared" ca="1" si="561"/>
        <v>278508.20643127058</v>
      </c>
      <c r="Z416" s="199"/>
      <c r="AA416" s="200">
        <f t="shared" ca="1" si="549"/>
        <v>34</v>
      </c>
      <c r="AB416" s="509">
        <f t="shared" ca="1" si="544"/>
        <v>398</v>
      </c>
      <c r="AC416" s="200">
        <f>+AC415</f>
        <v>34</v>
      </c>
      <c r="AD416" s="201">
        <f>+AD415+1</f>
        <v>3</v>
      </c>
      <c r="AE416" s="202">
        <f t="shared" ca="1" si="575"/>
        <v>56523</v>
      </c>
      <c r="AF416" s="203">
        <f>IF(Dashboard!$R$24="Float",AF415+Dashboard!$R$24/12,AF415)</f>
        <v>0.06</v>
      </c>
      <c r="AG416" s="204">
        <f t="shared" si="562"/>
        <v>399</v>
      </c>
      <c r="AH416" s="205">
        <f t="shared" si="563"/>
        <v>0</v>
      </c>
      <c r="AI416" s="205">
        <f t="shared" si="546"/>
        <v>0</v>
      </c>
      <c r="AJ416" s="205">
        <f t="shared" si="547"/>
        <v>0</v>
      </c>
      <c r="AK416" s="205">
        <f t="shared" si="564"/>
        <v>0</v>
      </c>
      <c r="AL416" s="205">
        <f t="shared" si="565"/>
        <v>0</v>
      </c>
      <c r="AM416" s="199"/>
      <c r="AN416" s="200">
        <f>+AN415</f>
        <v>35</v>
      </c>
      <c r="AO416" s="201">
        <f>+AO415+1</f>
        <v>3</v>
      </c>
      <c r="AP416" s="202">
        <f t="shared" ca="1" si="577"/>
        <v>56523</v>
      </c>
      <c r="AQ416" s="203">
        <f>IF(Dashboard!$S$20="Float",AQ415+Dashboard!$T$20/12,AQ415)</f>
        <v>4.4999999999999998E-2</v>
      </c>
      <c r="AR416" s="204">
        <f t="shared" si="566"/>
        <v>399</v>
      </c>
      <c r="AS416" s="205">
        <f t="shared" si="567"/>
        <v>-1.4883597382753082E-10</v>
      </c>
      <c r="AT416" s="205">
        <f t="shared" si="550"/>
        <v>-3.6516212276183074E-12</v>
      </c>
      <c r="AU416" s="205">
        <f t="shared" si="551"/>
        <v>5.5813490185324047E-13</v>
      </c>
      <c r="AV416" s="205">
        <f t="shared" si="568"/>
        <v>-4.2097561294715476E-12</v>
      </c>
      <c r="AW416" s="205">
        <f t="shared" si="569"/>
        <v>-1.5304572995700236E-10</v>
      </c>
      <c r="AX416" s="199"/>
    </row>
    <row r="417" spans="1:50">
      <c r="A417" s="73"/>
      <c r="B417" s="570"/>
      <c r="C417" s="200">
        <f>+C416</f>
        <v>34</v>
      </c>
      <c r="D417" s="201">
        <f t="shared" ref="D417:D425" si="584">+D416+1</f>
        <v>4</v>
      </c>
      <c r="E417" s="202">
        <f t="shared" ca="1" si="571"/>
        <v>56554</v>
      </c>
      <c r="F417" s="203">
        <f>IF(Dashboard!$Q$5="Float",F416+Dashboard!$R$5/12,F416)</f>
        <v>0.04</v>
      </c>
      <c r="G417" s="204">
        <f t="shared" si="552"/>
        <v>400</v>
      </c>
      <c r="H417" s="205">
        <f t="shared" si="553"/>
        <v>0</v>
      </c>
      <c r="I417" s="205">
        <f t="shared" si="538"/>
        <v>0</v>
      </c>
      <c r="J417" s="205">
        <f t="shared" si="539"/>
        <v>0</v>
      </c>
      <c r="K417" s="205">
        <f t="shared" si="554"/>
        <v>0</v>
      </c>
      <c r="L417" s="205">
        <f t="shared" si="555"/>
        <v>0</v>
      </c>
      <c r="M417" s="199"/>
      <c r="N417" s="200">
        <f t="shared" ca="1" si="556"/>
        <v>21</v>
      </c>
      <c r="O417" s="509">
        <f t="shared" ca="1" si="540"/>
        <v>248</v>
      </c>
      <c r="P417" s="200">
        <f t="shared" ca="1" si="541"/>
        <v>21</v>
      </c>
      <c r="Q417" s="201">
        <f t="shared" ref="Q417:Q425" si="585">+Q416+1</f>
        <v>4</v>
      </c>
      <c r="R417" s="202">
        <f t="shared" si="573"/>
        <v>51957</v>
      </c>
      <c r="S417" s="203">
        <f t="shared" si="557"/>
        <v>0.04</v>
      </c>
      <c r="T417" s="204">
        <f t="shared" ca="1" si="558"/>
        <v>213</v>
      </c>
      <c r="U417" s="205">
        <f t="shared" ca="1" si="559"/>
        <v>278508.20643127058</v>
      </c>
      <c r="V417" s="205">
        <f t="shared" ca="1" si="542"/>
        <v>-2387.0764773272963</v>
      </c>
      <c r="W417" s="205">
        <f t="shared" ca="1" si="543"/>
        <v>-928.36068810423524</v>
      </c>
      <c r="X417" s="205">
        <f t="shared" ca="1" si="560"/>
        <v>-1458.7157892230612</v>
      </c>
      <c r="Y417" s="205">
        <f t="shared" ca="1" si="561"/>
        <v>277049.49064204749</v>
      </c>
      <c r="Z417" s="199"/>
      <c r="AA417" s="200">
        <f t="shared" ca="1" si="549"/>
        <v>34</v>
      </c>
      <c r="AB417" s="509">
        <f t="shared" ca="1" si="544"/>
        <v>399</v>
      </c>
      <c r="AC417" s="200">
        <f>+AC416</f>
        <v>34</v>
      </c>
      <c r="AD417" s="201">
        <f t="shared" ref="AD417:AD425" si="586">+AD416+1</f>
        <v>4</v>
      </c>
      <c r="AE417" s="202">
        <f t="shared" ca="1" si="575"/>
        <v>56554</v>
      </c>
      <c r="AF417" s="203">
        <f>IF(Dashboard!$R$24="Float",AF416+Dashboard!$R$24/12,AF416)</f>
        <v>0.06</v>
      </c>
      <c r="AG417" s="204">
        <f t="shared" si="562"/>
        <v>400</v>
      </c>
      <c r="AH417" s="205">
        <f t="shared" si="563"/>
        <v>0</v>
      </c>
      <c r="AI417" s="205">
        <f t="shared" si="546"/>
        <v>0</v>
      </c>
      <c r="AJ417" s="205">
        <f t="shared" si="547"/>
        <v>0</v>
      </c>
      <c r="AK417" s="205">
        <f t="shared" si="564"/>
        <v>0</v>
      </c>
      <c r="AL417" s="205">
        <f t="shared" si="565"/>
        <v>0</v>
      </c>
      <c r="AM417" s="199"/>
      <c r="AN417" s="200">
        <f>+AN416</f>
        <v>35</v>
      </c>
      <c r="AO417" s="201">
        <f t="shared" ref="AO417:AO425" si="587">+AO416+1</f>
        <v>4</v>
      </c>
      <c r="AP417" s="202">
        <f t="shared" ca="1" si="577"/>
        <v>56554</v>
      </c>
      <c r="AQ417" s="203">
        <f>IF(Dashboard!$S$20="Float",AQ416+Dashboard!$T$20/12,AQ416)</f>
        <v>4.4999999999999998E-2</v>
      </c>
      <c r="AR417" s="204">
        <f t="shared" si="566"/>
        <v>400</v>
      </c>
      <c r="AS417" s="205">
        <f t="shared" si="567"/>
        <v>-1.5304572995700236E-10</v>
      </c>
      <c r="AT417" s="205">
        <f t="shared" si="550"/>
        <v>-3.6516212276183074E-12</v>
      </c>
      <c r="AU417" s="205">
        <f t="shared" si="551"/>
        <v>5.7392148733875884E-13</v>
      </c>
      <c r="AV417" s="205">
        <f t="shared" si="568"/>
        <v>-4.2255427149570662E-12</v>
      </c>
      <c r="AW417" s="205">
        <f t="shared" si="569"/>
        <v>-1.5727127267195942E-10</v>
      </c>
      <c r="AX417" s="199"/>
    </row>
    <row r="418" spans="1:50">
      <c r="A418" s="73"/>
      <c r="B418" s="570"/>
      <c r="C418" s="200">
        <f t="shared" ref="C418:C425" si="588">+C417</f>
        <v>34</v>
      </c>
      <c r="D418" s="201">
        <f t="shared" si="584"/>
        <v>5</v>
      </c>
      <c r="E418" s="202">
        <f t="shared" ca="1" si="571"/>
        <v>56584</v>
      </c>
      <c r="F418" s="203">
        <f>IF(Dashboard!$Q$5="Float",F417+Dashboard!$R$5/12,F417)</f>
        <v>0.04</v>
      </c>
      <c r="G418" s="204">
        <f t="shared" si="552"/>
        <v>401</v>
      </c>
      <c r="H418" s="205">
        <f t="shared" si="553"/>
        <v>0</v>
      </c>
      <c r="I418" s="205">
        <f t="shared" si="538"/>
        <v>0</v>
      </c>
      <c r="J418" s="205">
        <f t="shared" si="539"/>
        <v>0</v>
      </c>
      <c r="K418" s="205">
        <f t="shared" si="554"/>
        <v>0</v>
      </c>
      <c r="L418" s="205">
        <f t="shared" si="555"/>
        <v>0</v>
      </c>
      <c r="M418" s="199"/>
      <c r="N418" s="200">
        <f t="shared" ca="1" si="556"/>
        <v>21</v>
      </c>
      <c r="O418" s="509">
        <f t="shared" ca="1" si="540"/>
        <v>249</v>
      </c>
      <c r="P418" s="200">
        <f t="shared" ca="1" si="541"/>
        <v>21</v>
      </c>
      <c r="Q418" s="201">
        <f t="shared" si="585"/>
        <v>5</v>
      </c>
      <c r="R418" s="202">
        <f t="shared" si="573"/>
        <v>51987</v>
      </c>
      <c r="S418" s="203">
        <f t="shared" si="557"/>
        <v>0.04</v>
      </c>
      <c r="T418" s="204">
        <f t="shared" ca="1" si="558"/>
        <v>214</v>
      </c>
      <c r="U418" s="205">
        <f t="shared" ca="1" si="559"/>
        <v>277049.49064204749</v>
      </c>
      <c r="V418" s="205">
        <f t="shared" ca="1" si="542"/>
        <v>-2387.0764773272963</v>
      </c>
      <c r="W418" s="205">
        <f t="shared" ca="1" si="543"/>
        <v>-923.49830214015822</v>
      </c>
      <c r="X418" s="205">
        <f t="shared" ca="1" si="560"/>
        <v>-1463.5781751871382</v>
      </c>
      <c r="Y418" s="205">
        <f t="shared" ca="1" si="561"/>
        <v>275585.91246686038</v>
      </c>
      <c r="Z418" s="199"/>
      <c r="AA418" s="200">
        <f t="shared" ca="1" si="549"/>
        <v>34</v>
      </c>
      <c r="AB418" s="509">
        <f t="shared" ca="1" si="544"/>
        <v>400</v>
      </c>
      <c r="AC418" s="200">
        <f t="shared" ref="AC418:AC425" si="589">+AC417</f>
        <v>34</v>
      </c>
      <c r="AD418" s="201">
        <f t="shared" si="586"/>
        <v>5</v>
      </c>
      <c r="AE418" s="202">
        <f t="shared" ca="1" si="575"/>
        <v>56584</v>
      </c>
      <c r="AF418" s="203">
        <f>IF(Dashboard!$R$24="Float",AF417+Dashboard!$R$24/12,AF417)</f>
        <v>0.06</v>
      </c>
      <c r="AG418" s="204">
        <f t="shared" si="562"/>
        <v>401</v>
      </c>
      <c r="AH418" s="205">
        <f t="shared" si="563"/>
        <v>0</v>
      </c>
      <c r="AI418" s="205">
        <f t="shared" si="546"/>
        <v>0</v>
      </c>
      <c r="AJ418" s="205">
        <f t="shared" si="547"/>
        <v>0</v>
      </c>
      <c r="AK418" s="205">
        <f t="shared" si="564"/>
        <v>0</v>
      </c>
      <c r="AL418" s="205">
        <f t="shared" si="565"/>
        <v>0</v>
      </c>
      <c r="AM418" s="199"/>
      <c r="AN418" s="200">
        <f t="shared" ref="AN418:AN425" si="590">+AN417</f>
        <v>35</v>
      </c>
      <c r="AO418" s="201">
        <f t="shared" si="587"/>
        <v>5</v>
      </c>
      <c r="AP418" s="202">
        <f t="shared" ca="1" si="577"/>
        <v>56584</v>
      </c>
      <c r="AQ418" s="203">
        <f>IF(Dashboard!$S$20="Float",AQ417+Dashboard!$T$20/12,AQ417)</f>
        <v>4.4999999999999998E-2</v>
      </c>
      <c r="AR418" s="204">
        <f t="shared" si="566"/>
        <v>401</v>
      </c>
      <c r="AS418" s="205">
        <f t="shared" si="567"/>
        <v>-1.5727127267195942E-10</v>
      </c>
      <c r="AT418" s="205">
        <f t="shared" si="550"/>
        <v>-3.6516212276183074E-12</v>
      </c>
      <c r="AU418" s="205">
        <f t="shared" si="551"/>
        <v>5.8976727251984783E-13</v>
      </c>
      <c r="AV418" s="205">
        <f t="shared" si="568"/>
        <v>-4.2413885001381552E-12</v>
      </c>
      <c r="AW418" s="205">
        <f t="shared" si="569"/>
        <v>-1.6151266117209759E-10</v>
      </c>
      <c r="AX418" s="199"/>
    </row>
    <row r="419" spans="1:50">
      <c r="A419" s="73"/>
      <c r="B419" s="570"/>
      <c r="C419" s="200">
        <f t="shared" si="588"/>
        <v>34</v>
      </c>
      <c r="D419" s="201">
        <f t="shared" si="584"/>
        <v>6</v>
      </c>
      <c r="E419" s="202">
        <f t="shared" ca="1" si="571"/>
        <v>56615</v>
      </c>
      <c r="F419" s="203">
        <f>IF(Dashboard!$Q$5="Float",F418+Dashboard!$R$5/12,F418)</f>
        <v>0.04</v>
      </c>
      <c r="G419" s="204">
        <f t="shared" si="552"/>
        <v>402</v>
      </c>
      <c r="H419" s="205">
        <f t="shared" si="553"/>
        <v>0</v>
      </c>
      <c r="I419" s="205">
        <f t="shared" si="538"/>
        <v>0</v>
      </c>
      <c r="J419" s="205">
        <f t="shared" si="539"/>
        <v>0</v>
      </c>
      <c r="K419" s="205">
        <f t="shared" si="554"/>
        <v>0</v>
      </c>
      <c r="L419" s="205">
        <f t="shared" si="555"/>
        <v>0</v>
      </c>
      <c r="M419" s="199"/>
      <c r="N419" s="200">
        <f t="shared" ca="1" si="556"/>
        <v>21</v>
      </c>
      <c r="O419" s="509">
        <f t="shared" ca="1" si="540"/>
        <v>250</v>
      </c>
      <c r="P419" s="200">
        <f t="shared" ca="1" si="541"/>
        <v>21</v>
      </c>
      <c r="Q419" s="201">
        <f t="shared" si="585"/>
        <v>6</v>
      </c>
      <c r="R419" s="202">
        <f t="shared" si="573"/>
        <v>52018</v>
      </c>
      <c r="S419" s="203">
        <f t="shared" si="557"/>
        <v>0.04</v>
      </c>
      <c r="T419" s="204">
        <f t="shared" ca="1" si="558"/>
        <v>215</v>
      </c>
      <c r="U419" s="205">
        <f t="shared" ca="1" si="559"/>
        <v>275585.91246686038</v>
      </c>
      <c r="V419" s="205">
        <f t="shared" ca="1" si="542"/>
        <v>-2387.0764773272963</v>
      </c>
      <c r="W419" s="205">
        <f t="shared" ca="1" si="543"/>
        <v>-918.61970822286787</v>
      </c>
      <c r="X419" s="205">
        <f t="shared" ca="1" si="560"/>
        <v>-1468.4567691044285</v>
      </c>
      <c r="Y419" s="205">
        <f t="shared" ca="1" si="561"/>
        <v>274117.45569775597</v>
      </c>
      <c r="Z419" s="199"/>
      <c r="AA419" s="200">
        <f t="shared" ca="1" si="549"/>
        <v>34</v>
      </c>
      <c r="AB419" s="509">
        <f t="shared" ca="1" si="544"/>
        <v>401</v>
      </c>
      <c r="AC419" s="200">
        <f t="shared" si="589"/>
        <v>34</v>
      </c>
      <c r="AD419" s="201">
        <f t="shared" si="586"/>
        <v>6</v>
      </c>
      <c r="AE419" s="202">
        <f t="shared" ca="1" si="575"/>
        <v>56615</v>
      </c>
      <c r="AF419" s="203">
        <f>IF(Dashboard!$R$24="Float",AF418+Dashboard!$R$24/12,AF418)</f>
        <v>0.06</v>
      </c>
      <c r="AG419" s="204">
        <f t="shared" si="562"/>
        <v>402</v>
      </c>
      <c r="AH419" s="205">
        <f t="shared" si="563"/>
        <v>0</v>
      </c>
      <c r="AI419" s="205">
        <f t="shared" si="546"/>
        <v>0</v>
      </c>
      <c r="AJ419" s="205">
        <f t="shared" si="547"/>
        <v>0</v>
      </c>
      <c r="AK419" s="205">
        <f t="shared" si="564"/>
        <v>0</v>
      </c>
      <c r="AL419" s="205">
        <f t="shared" si="565"/>
        <v>0</v>
      </c>
      <c r="AM419" s="199"/>
      <c r="AN419" s="200">
        <f t="shared" si="590"/>
        <v>35</v>
      </c>
      <c r="AO419" s="201">
        <f t="shared" si="587"/>
        <v>6</v>
      </c>
      <c r="AP419" s="202">
        <f t="shared" ca="1" si="577"/>
        <v>56615</v>
      </c>
      <c r="AQ419" s="203">
        <f>IF(Dashboard!$S$20="Float",AQ418+Dashboard!$T$20/12,AQ418)</f>
        <v>4.4999999999999998E-2</v>
      </c>
      <c r="AR419" s="204">
        <f t="shared" si="566"/>
        <v>402</v>
      </c>
      <c r="AS419" s="205">
        <f t="shared" si="567"/>
        <v>-1.6151266117209759E-10</v>
      </c>
      <c r="AT419" s="205">
        <f t="shared" si="550"/>
        <v>-3.6516212276183074E-12</v>
      </c>
      <c r="AU419" s="205">
        <f t="shared" si="551"/>
        <v>6.0567247939536595E-13</v>
      </c>
      <c r="AV419" s="205">
        <f t="shared" si="568"/>
        <v>-4.2572937070136733E-12</v>
      </c>
      <c r="AW419" s="205">
        <f t="shared" si="569"/>
        <v>-1.6576995487911127E-10</v>
      </c>
      <c r="AX419" s="199"/>
    </row>
    <row r="420" spans="1:50">
      <c r="A420" s="73"/>
      <c r="B420" s="570"/>
      <c r="C420" s="200">
        <f t="shared" si="588"/>
        <v>34</v>
      </c>
      <c r="D420" s="201">
        <f t="shared" si="584"/>
        <v>7</v>
      </c>
      <c r="E420" s="202">
        <f t="shared" ca="1" si="571"/>
        <v>56646</v>
      </c>
      <c r="F420" s="203">
        <f>IF(Dashboard!$Q$5="Float",F419+Dashboard!$R$5/12,F419)</f>
        <v>0.04</v>
      </c>
      <c r="G420" s="204">
        <f t="shared" si="552"/>
        <v>403</v>
      </c>
      <c r="H420" s="205">
        <f t="shared" si="553"/>
        <v>0</v>
      </c>
      <c r="I420" s="205">
        <f t="shared" si="538"/>
        <v>0</v>
      </c>
      <c r="J420" s="205">
        <f t="shared" si="539"/>
        <v>0</v>
      </c>
      <c r="K420" s="205">
        <f t="shared" si="554"/>
        <v>0</v>
      </c>
      <c r="L420" s="205">
        <f t="shared" si="555"/>
        <v>0</v>
      </c>
      <c r="M420" s="199"/>
      <c r="N420" s="200">
        <f t="shared" ca="1" si="556"/>
        <v>21</v>
      </c>
      <c r="O420" s="509">
        <f t="shared" ca="1" si="540"/>
        <v>251</v>
      </c>
      <c r="P420" s="200">
        <f t="shared" ca="1" si="541"/>
        <v>21</v>
      </c>
      <c r="Q420" s="201">
        <f t="shared" si="585"/>
        <v>7</v>
      </c>
      <c r="R420" s="202">
        <f t="shared" si="573"/>
        <v>52048</v>
      </c>
      <c r="S420" s="203">
        <f t="shared" si="557"/>
        <v>0.04</v>
      </c>
      <c r="T420" s="204">
        <f t="shared" ca="1" si="558"/>
        <v>216</v>
      </c>
      <c r="U420" s="205">
        <f t="shared" ca="1" si="559"/>
        <v>274117.45569775597</v>
      </c>
      <c r="V420" s="205">
        <f t="shared" ca="1" si="542"/>
        <v>-2387.0764773272963</v>
      </c>
      <c r="W420" s="205">
        <f t="shared" ca="1" si="543"/>
        <v>-913.72485232585325</v>
      </c>
      <c r="X420" s="205">
        <f t="shared" ca="1" si="560"/>
        <v>-1473.3516250014432</v>
      </c>
      <c r="Y420" s="205">
        <f t="shared" ca="1" si="561"/>
        <v>272644.1040727545</v>
      </c>
      <c r="Z420" s="199"/>
      <c r="AA420" s="200">
        <f t="shared" ca="1" si="549"/>
        <v>34</v>
      </c>
      <c r="AB420" s="509">
        <f t="shared" ca="1" si="544"/>
        <v>402</v>
      </c>
      <c r="AC420" s="200">
        <f t="shared" si="589"/>
        <v>34</v>
      </c>
      <c r="AD420" s="201">
        <f t="shared" si="586"/>
        <v>7</v>
      </c>
      <c r="AE420" s="202">
        <f t="shared" ca="1" si="575"/>
        <v>56646</v>
      </c>
      <c r="AF420" s="203">
        <f>IF(Dashboard!$R$24="Float",AF419+Dashboard!$R$24/12,AF419)</f>
        <v>0.06</v>
      </c>
      <c r="AG420" s="204">
        <f t="shared" si="562"/>
        <v>403</v>
      </c>
      <c r="AH420" s="205">
        <f t="shared" si="563"/>
        <v>0</v>
      </c>
      <c r="AI420" s="205">
        <f t="shared" si="546"/>
        <v>0</v>
      </c>
      <c r="AJ420" s="205">
        <f t="shared" si="547"/>
        <v>0</v>
      </c>
      <c r="AK420" s="205">
        <f t="shared" si="564"/>
        <v>0</v>
      </c>
      <c r="AL420" s="205">
        <f t="shared" si="565"/>
        <v>0</v>
      </c>
      <c r="AM420" s="199"/>
      <c r="AN420" s="200">
        <f t="shared" si="590"/>
        <v>35</v>
      </c>
      <c r="AO420" s="201">
        <f t="shared" si="587"/>
        <v>7</v>
      </c>
      <c r="AP420" s="202">
        <f t="shared" ca="1" si="577"/>
        <v>56646</v>
      </c>
      <c r="AQ420" s="203">
        <f>IF(Dashboard!$S$20="Float",AQ419+Dashboard!$T$20/12,AQ419)</f>
        <v>4.4999999999999998E-2</v>
      </c>
      <c r="AR420" s="204">
        <f t="shared" si="566"/>
        <v>403</v>
      </c>
      <c r="AS420" s="205">
        <f t="shared" si="567"/>
        <v>-1.6576995487911127E-10</v>
      </c>
      <c r="AT420" s="205">
        <f t="shared" si="550"/>
        <v>-3.6516212276183074E-12</v>
      </c>
      <c r="AU420" s="205">
        <f t="shared" si="551"/>
        <v>6.216373307966672E-13</v>
      </c>
      <c r="AV420" s="205">
        <f t="shared" si="568"/>
        <v>-4.2732585584149745E-12</v>
      </c>
      <c r="AW420" s="205">
        <f t="shared" si="569"/>
        <v>-1.7004321343752625E-10</v>
      </c>
      <c r="AX420" s="199"/>
    </row>
    <row r="421" spans="1:50">
      <c r="A421" s="73"/>
      <c r="B421" s="570"/>
      <c r="C421" s="200">
        <f t="shared" si="588"/>
        <v>34</v>
      </c>
      <c r="D421" s="201">
        <f t="shared" si="584"/>
        <v>8</v>
      </c>
      <c r="E421" s="202">
        <f t="shared" ca="1" si="571"/>
        <v>56674</v>
      </c>
      <c r="F421" s="203">
        <f>IF(Dashboard!$Q$5="Float",F420+Dashboard!$R$5/12,F420)</f>
        <v>0.04</v>
      </c>
      <c r="G421" s="204">
        <f t="shared" si="552"/>
        <v>404</v>
      </c>
      <c r="H421" s="205">
        <f t="shared" si="553"/>
        <v>0</v>
      </c>
      <c r="I421" s="205">
        <f t="shared" si="538"/>
        <v>0</v>
      </c>
      <c r="J421" s="205">
        <f t="shared" si="539"/>
        <v>0</v>
      </c>
      <c r="K421" s="205">
        <f t="shared" si="554"/>
        <v>0</v>
      </c>
      <c r="L421" s="205">
        <f t="shared" si="555"/>
        <v>0</v>
      </c>
      <c r="M421" s="199"/>
      <c r="N421" s="200">
        <f t="shared" ca="1" si="556"/>
        <v>21</v>
      </c>
      <c r="O421" s="509">
        <f t="shared" ca="1" si="540"/>
        <v>252</v>
      </c>
      <c r="P421" s="200">
        <f t="shared" ca="1" si="541"/>
        <v>22</v>
      </c>
      <c r="Q421" s="201">
        <f t="shared" si="585"/>
        <v>8</v>
      </c>
      <c r="R421" s="202">
        <f t="shared" si="573"/>
        <v>52079</v>
      </c>
      <c r="S421" s="203">
        <f t="shared" si="557"/>
        <v>0.04</v>
      </c>
      <c r="T421" s="204">
        <f t="shared" ca="1" si="558"/>
        <v>217</v>
      </c>
      <c r="U421" s="205">
        <f t="shared" ca="1" si="559"/>
        <v>272644.1040727545</v>
      </c>
      <c r="V421" s="205">
        <f t="shared" ca="1" si="542"/>
        <v>-2387.0764773272963</v>
      </c>
      <c r="W421" s="205">
        <f t="shared" ca="1" si="543"/>
        <v>-908.81368024251503</v>
      </c>
      <c r="X421" s="205">
        <f t="shared" ca="1" si="560"/>
        <v>-1478.2627970847811</v>
      </c>
      <c r="Y421" s="205">
        <f t="shared" ca="1" si="561"/>
        <v>271165.84127566975</v>
      </c>
      <c r="Z421" s="199"/>
      <c r="AA421" s="200">
        <f t="shared" ca="1" si="549"/>
        <v>34</v>
      </c>
      <c r="AB421" s="509">
        <f t="shared" ca="1" si="544"/>
        <v>403</v>
      </c>
      <c r="AC421" s="200">
        <f t="shared" si="589"/>
        <v>34</v>
      </c>
      <c r="AD421" s="201">
        <f t="shared" si="586"/>
        <v>8</v>
      </c>
      <c r="AE421" s="202">
        <f t="shared" ca="1" si="575"/>
        <v>56674</v>
      </c>
      <c r="AF421" s="203">
        <f>IF(Dashboard!$R$24="Float",AF420+Dashboard!$R$24/12,AF420)</f>
        <v>0.06</v>
      </c>
      <c r="AG421" s="204">
        <f t="shared" si="562"/>
        <v>404</v>
      </c>
      <c r="AH421" s="205">
        <f t="shared" si="563"/>
        <v>0</v>
      </c>
      <c r="AI421" s="205">
        <f t="shared" si="546"/>
        <v>0</v>
      </c>
      <c r="AJ421" s="205">
        <f t="shared" si="547"/>
        <v>0</v>
      </c>
      <c r="AK421" s="205">
        <f t="shared" si="564"/>
        <v>0</v>
      </c>
      <c r="AL421" s="205">
        <f t="shared" si="565"/>
        <v>0</v>
      </c>
      <c r="AM421" s="199"/>
      <c r="AN421" s="200">
        <f t="shared" si="590"/>
        <v>35</v>
      </c>
      <c r="AO421" s="201">
        <f t="shared" si="587"/>
        <v>8</v>
      </c>
      <c r="AP421" s="202">
        <f t="shared" ca="1" si="577"/>
        <v>56674</v>
      </c>
      <c r="AQ421" s="203">
        <f>IF(Dashboard!$S$20="Float",AQ420+Dashboard!$T$20/12,AQ420)</f>
        <v>4.4999999999999998E-2</v>
      </c>
      <c r="AR421" s="204">
        <f t="shared" si="566"/>
        <v>404</v>
      </c>
      <c r="AS421" s="205">
        <f t="shared" si="567"/>
        <v>-1.7004321343752625E-10</v>
      </c>
      <c r="AT421" s="205">
        <f t="shared" si="550"/>
        <v>-3.6516212276183074E-12</v>
      </c>
      <c r="AU421" s="205">
        <f t="shared" si="551"/>
        <v>6.3766205039072349E-13</v>
      </c>
      <c r="AV421" s="205">
        <f t="shared" si="568"/>
        <v>-4.2892832780090306E-12</v>
      </c>
      <c r="AW421" s="205">
        <f t="shared" si="569"/>
        <v>-1.7433249671553527E-10</v>
      </c>
      <c r="AX421" s="199"/>
    </row>
    <row r="422" spans="1:50">
      <c r="A422" s="73"/>
      <c r="B422" s="570"/>
      <c r="C422" s="200">
        <f t="shared" si="588"/>
        <v>34</v>
      </c>
      <c r="D422" s="201">
        <f t="shared" si="584"/>
        <v>9</v>
      </c>
      <c r="E422" s="202">
        <f t="shared" ca="1" si="571"/>
        <v>56705</v>
      </c>
      <c r="F422" s="203">
        <f>IF(Dashboard!$Q$5="Float",F421+Dashboard!$R$5/12,F421)</f>
        <v>0.04</v>
      </c>
      <c r="G422" s="204">
        <f t="shared" si="552"/>
        <v>405</v>
      </c>
      <c r="H422" s="205">
        <f t="shared" si="553"/>
        <v>0</v>
      </c>
      <c r="I422" s="205">
        <f t="shared" si="538"/>
        <v>0</v>
      </c>
      <c r="J422" s="205">
        <f t="shared" si="539"/>
        <v>0</v>
      </c>
      <c r="K422" s="205">
        <f t="shared" si="554"/>
        <v>0</v>
      </c>
      <c r="L422" s="205">
        <f t="shared" si="555"/>
        <v>0</v>
      </c>
      <c r="M422" s="199"/>
      <c r="N422" s="200">
        <f t="shared" ca="1" si="556"/>
        <v>22</v>
      </c>
      <c r="O422" s="509">
        <f t="shared" ca="1" si="540"/>
        <v>253</v>
      </c>
      <c r="P422" s="200">
        <f t="shared" ca="1" si="541"/>
        <v>22</v>
      </c>
      <c r="Q422" s="201">
        <f t="shared" si="585"/>
        <v>9</v>
      </c>
      <c r="R422" s="202">
        <f t="shared" si="573"/>
        <v>52110</v>
      </c>
      <c r="S422" s="203">
        <f t="shared" si="557"/>
        <v>0.04</v>
      </c>
      <c r="T422" s="204">
        <f t="shared" ca="1" si="558"/>
        <v>218</v>
      </c>
      <c r="U422" s="205">
        <f t="shared" ca="1" si="559"/>
        <v>271165.84127566975</v>
      </c>
      <c r="V422" s="205">
        <f t="shared" ca="1" si="542"/>
        <v>-2387.0764773272963</v>
      </c>
      <c r="W422" s="205">
        <f t="shared" ca="1" si="543"/>
        <v>-903.88613758556585</v>
      </c>
      <c r="X422" s="205">
        <f t="shared" ca="1" si="560"/>
        <v>-1483.1903397417304</v>
      </c>
      <c r="Y422" s="205">
        <f t="shared" ca="1" si="561"/>
        <v>269682.65093592805</v>
      </c>
      <c r="Z422" s="199"/>
      <c r="AA422" s="200">
        <f t="shared" ca="1" si="549"/>
        <v>34</v>
      </c>
      <c r="AB422" s="509">
        <f t="shared" ca="1" si="544"/>
        <v>404</v>
      </c>
      <c r="AC422" s="200">
        <f t="shared" si="589"/>
        <v>34</v>
      </c>
      <c r="AD422" s="201">
        <f t="shared" si="586"/>
        <v>9</v>
      </c>
      <c r="AE422" s="202">
        <f t="shared" ca="1" si="575"/>
        <v>56705</v>
      </c>
      <c r="AF422" s="203">
        <f>IF(Dashboard!$R$24="Float",AF421+Dashboard!$R$24/12,AF421)</f>
        <v>0.06</v>
      </c>
      <c r="AG422" s="204">
        <f t="shared" si="562"/>
        <v>405</v>
      </c>
      <c r="AH422" s="205">
        <f t="shared" si="563"/>
        <v>0</v>
      </c>
      <c r="AI422" s="205">
        <f t="shared" si="546"/>
        <v>0</v>
      </c>
      <c r="AJ422" s="205">
        <f t="shared" si="547"/>
        <v>0</v>
      </c>
      <c r="AK422" s="205">
        <f t="shared" si="564"/>
        <v>0</v>
      </c>
      <c r="AL422" s="205">
        <f t="shared" si="565"/>
        <v>0</v>
      </c>
      <c r="AM422" s="199"/>
      <c r="AN422" s="200">
        <f t="shared" si="590"/>
        <v>35</v>
      </c>
      <c r="AO422" s="201">
        <f t="shared" si="587"/>
        <v>9</v>
      </c>
      <c r="AP422" s="202">
        <f t="shared" ca="1" si="577"/>
        <v>56705</v>
      </c>
      <c r="AQ422" s="203">
        <f>IF(Dashboard!$S$20="Float",AQ421+Dashboard!$T$20/12,AQ421)</f>
        <v>4.4999999999999998E-2</v>
      </c>
      <c r="AR422" s="204">
        <f t="shared" si="566"/>
        <v>405</v>
      </c>
      <c r="AS422" s="205">
        <f t="shared" si="567"/>
        <v>-1.7433249671553527E-10</v>
      </c>
      <c r="AT422" s="205">
        <f t="shared" si="550"/>
        <v>-3.6516212276183074E-12</v>
      </c>
      <c r="AU422" s="205">
        <f t="shared" si="551"/>
        <v>6.5374686268325718E-13</v>
      </c>
      <c r="AV422" s="205">
        <f t="shared" si="568"/>
        <v>-4.305368090301565E-12</v>
      </c>
      <c r="AW422" s="205">
        <f t="shared" si="569"/>
        <v>-1.7863786480583684E-10</v>
      </c>
      <c r="AX422" s="199"/>
    </row>
    <row r="423" spans="1:50">
      <c r="A423" s="73"/>
      <c r="B423" s="570"/>
      <c r="C423" s="200">
        <f t="shared" si="588"/>
        <v>34</v>
      </c>
      <c r="D423" s="201">
        <f t="shared" si="584"/>
        <v>10</v>
      </c>
      <c r="E423" s="202">
        <f t="shared" ca="1" si="571"/>
        <v>56735</v>
      </c>
      <c r="F423" s="203">
        <f>IF(Dashboard!$Q$5="Float",F422+Dashboard!$R$5/12,F422)</f>
        <v>0.04</v>
      </c>
      <c r="G423" s="204">
        <f t="shared" si="552"/>
        <v>406</v>
      </c>
      <c r="H423" s="205">
        <f t="shared" si="553"/>
        <v>0</v>
      </c>
      <c r="I423" s="205">
        <f t="shared" si="538"/>
        <v>0</v>
      </c>
      <c r="J423" s="205">
        <f t="shared" si="539"/>
        <v>0</v>
      </c>
      <c r="K423" s="205">
        <f t="shared" si="554"/>
        <v>0</v>
      </c>
      <c r="L423" s="205">
        <f t="shared" si="555"/>
        <v>0</v>
      </c>
      <c r="M423" s="199"/>
      <c r="N423" s="200">
        <f t="shared" ca="1" si="556"/>
        <v>22</v>
      </c>
      <c r="O423" s="509">
        <f t="shared" ca="1" si="540"/>
        <v>254</v>
      </c>
      <c r="P423" s="200">
        <f t="shared" ca="1" si="541"/>
        <v>22</v>
      </c>
      <c r="Q423" s="201">
        <f t="shared" si="585"/>
        <v>10</v>
      </c>
      <c r="R423" s="202">
        <f t="shared" si="573"/>
        <v>52140</v>
      </c>
      <c r="S423" s="203">
        <f t="shared" si="557"/>
        <v>0.04</v>
      </c>
      <c r="T423" s="204">
        <f t="shared" ca="1" si="558"/>
        <v>219</v>
      </c>
      <c r="U423" s="205">
        <f t="shared" ca="1" si="559"/>
        <v>269682.65093592805</v>
      </c>
      <c r="V423" s="205">
        <f t="shared" ca="1" si="542"/>
        <v>-2387.0764773272967</v>
      </c>
      <c r="W423" s="205">
        <f t="shared" ca="1" si="543"/>
        <v>-898.9421697864268</v>
      </c>
      <c r="X423" s="205">
        <f t="shared" ca="1" si="560"/>
        <v>-1488.1343075408699</v>
      </c>
      <c r="Y423" s="205">
        <f t="shared" ca="1" si="561"/>
        <v>268194.51662838715</v>
      </c>
      <c r="Z423" s="199"/>
      <c r="AA423" s="200">
        <f t="shared" ca="1" si="549"/>
        <v>34</v>
      </c>
      <c r="AB423" s="509">
        <f t="shared" ca="1" si="544"/>
        <v>405</v>
      </c>
      <c r="AC423" s="200">
        <f t="shared" si="589"/>
        <v>34</v>
      </c>
      <c r="AD423" s="201">
        <f t="shared" si="586"/>
        <v>10</v>
      </c>
      <c r="AE423" s="202">
        <f t="shared" ca="1" si="575"/>
        <v>56735</v>
      </c>
      <c r="AF423" s="203">
        <f>IF(Dashboard!$R$24="Float",AF422+Dashboard!$R$24/12,AF422)</f>
        <v>0.06</v>
      </c>
      <c r="AG423" s="204">
        <f t="shared" si="562"/>
        <v>406</v>
      </c>
      <c r="AH423" s="205">
        <f t="shared" si="563"/>
        <v>0</v>
      </c>
      <c r="AI423" s="205">
        <f t="shared" si="546"/>
        <v>0</v>
      </c>
      <c r="AJ423" s="205">
        <f t="shared" si="547"/>
        <v>0</v>
      </c>
      <c r="AK423" s="205">
        <f t="shared" si="564"/>
        <v>0</v>
      </c>
      <c r="AL423" s="205">
        <f t="shared" si="565"/>
        <v>0</v>
      </c>
      <c r="AM423" s="199"/>
      <c r="AN423" s="200">
        <f t="shared" si="590"/>
        <v>35</v>
      </c>
      <c r="AO423" s="201">
        <f t="shared" si="587"/>
        <v>10</v>
      </c>
      <c r="AP423" s="202">
        <f t="shared" ca="1" si="577"/>
        <v>56735</v>
      </c>
      <c r="AQ423" s="203">
        <f>IF(Dashboard!$S$20="Float",AQ422+Dashboard!$T$20/12,AQ422)</f>
        <v>4.4999999999999998E-2</v>
      </c>
      <c r="AR423" s="204">
        <f t="shared" si="566"/>
        <v>406</v>
      </c>
      <c r="AS423" s="205">
        <f t="shared" si="567"/>
        <v>-1.7863786480583684E-10</v>
      </c>
      <c r="AT423" s="205">
        <f t="shared" si="550"/>
        <v>-3.6516212276183074E-12</v>
      </c>
      <c r="AU423" s="205">
        <f t="shared" si="551"/>
        <v>6.6989199302188813E-13</v>
      </c>
      <c r="AV423" s="205">
        <f t="shared" si="568"/>
        <v>-4.3215132206401956E-12</v>
      </c>
      <c r="AW423" s="205">
        <f t="shared" si="569"/>
        <v>-1.8295937802647704E-10</v>
      </c>
      <c r="AX423" s="199"/>
    </row>
    <row r="424" spans="1:50">
      <c r="A424" s="73"/>
      <c r="B424" s="570"/>
      <c r="C424" s="200">
        <f t="shared" si="588"/>
        <v>34</v>
      </c>
      <c r="D424" s="201">
        <f t="shared" si="584"/>
        <v>11</v>
      </c>
      <c r="E424" s="202">
        <f t="shared" ca="1" si="571"/>
        <v>56766</v>
      </c>
      <c r="F424" s="203">
        <f>IF(Dashboard!$Q$5="Float",F423+Dashboard!$R$5/12,F423)</f>
        <v>0.04</v>
      </c>
      <c r="G424" s="204">
        <f t="shared" si="552"/>
        <v>407</v>
      </c>
      <c r="H424" s="205">
        <f t="shared" si="553"/>
        <v>0</v>
      </c>
      <c r="I424" s="205">
        <f t="shared" si="538"/>
        <v>0</v>
      </c>
      <c r="J424" s="205">
        <f t="shared" si="539"/>
        <v>0</v>
      </c>
      <c r="K424" s="205">
        <f t="shared" si="554"/>
        <v>0</v>
      </c>
      <c r="L424" s="205">
        <f t="shared" si="555"/>
        <v>0</v>
      </c>
      <c r="M424" s="199"/>
      <c r="N424" s="200">
        <f t="shared" ca="1" si="556"/>
        <v>22</v>
      </c>
      <c r="O424" s="509">
        <f t="shared" ca="1" si="540"/>
        <v>255</v>
      </c>
      <c r="P424" s="200">
        <f t="shared" ca="1" si="541"/>
        <v>22</v>
      </c>
      <c r="Q424" s="201">
        <f t="shared" si="585"/>
        <v>11</v>
      </c>
      <c r="R424" s="202">
        <f t="shared" si="573"/>
        <v>52171</v>
      </c>
      <c r="S424" s="203">
        <f t="shared" si="557"/>
        <v>0.04</v>
      </c>
      <c r="T424" s="204">
        <f t="shared" ca="1" si="558"/>
        <v>220</v>
      </c>
      <c r="U424" s="205">
        <f t="shared" ca="1" si="559"/>
        <v>268194.51662838715</v>
      </c>
      <c r="V424" s="205">
        <f t="shared" ca="1" si="542"/>
        <v>-2387.0764773272967</v>
      </c>
      <c r="W424" s="205">
        <f t="shared" ca="1" si="543"/>
        <v>-893.98172209462382</v>
      </c>
      <c r="X424" s="205">
        <f t="shared" ca="1" si="560"/>
        <v>-1493.0947552326729</v>
      </c>
      <c r="Y424" s="205">
        <f t="shared" ca="1" si="561"/>
        <v>266701.42187315447</v>
      </c>
      <c r="Z424" s="199"/>
      <c r="AA424" s="200">
        <f t="shared" ca="1" si="549"/>
        <v>34</v>
      </c>
      <c r="AB424" s="509">
        <f t="shared" ca="1" si="544"/>
        <v>406</v>
      </c>
      <c r="AC424" s="200">
        <f t="shared" si="589"/>
        <v>34</v>
      </c>
      <c r="AD424" s="201">
        <f t="shared" si="586"/>
        <v>11</v>
      </c>
      <c r="AE424" s="202">
        <f t="shared" ca="1" si="575"/>
        <v>56766</v>
      </c>
      <c r="AF424" s="203">
        <f>IF(Dashboard!$R$24="Float",AF423+Dashboard!$R$24/12,AF423)</f>
        <v>0.06</v>
      </c>
      <c r="AG424" s="204">
        <f t="shared" si="562"/>
        <v>407</v>
      </c>
      <c r="AH424" s="205">
        <f t="shared" si="563"/>
        <v>0</v>
      </c>
      <c r="AI424" s="205">
        <f t="shared" si="546"/>
        <v>0</v>
      </c>
      <c r="AJ424" s="205">
        <f t="shared" si="547"/>
        <v>0</v>
      </c>
      <c r="AK424" s="205">
        <f t="shared" si="564"/>
        <v>0</v>
      </c>
      <c r="AL424" s="205">
        <f t="shared" si="565"/>
        <v>0</v>
      </c>
      <c r="AM424" s="199"/>
      <c r="AN424" s="200">
        <f t="shared" si="590"/>
        <v>35</v>
      </c>
      <c r="AO424" s="201">
        <f t="shared" si="587"/>
        <v>11</v>
      </c>
      <c r="AP424" s="202">
        <f t="shared" ca="1" si="577"/>
        <v>56766</v>
      </c>
      <c r="AQ424" s="203">
        <f>IF(Dashboard!$S$20="Float",AQ423+Dashboard!$T$20/12,AQ423)</f>
        <v>4.4999999999999998E-2</v>
      </c>
      <c r="AR424" s="204">
        <f t="shared" si="566"/>
        <v>407</v>
      </c>
      <c r="AS424" s="205">
        <f t="shared" si="567"/>
        <v>-1.8295937802647704E-10</v>
      </c>
      <c r="AT424" s="205">
        <f t="shared" si="550"/>
        <v>-3.6516212276183074E-12</v>
      </c>
      <c r="AU424" s="205">
        <f t="shared" si="551"/>
        <v>6.8609766759928892E-13</v>
      </c>
      <c r="AV424" s="205">
        <f t="shared" si="568"/>
        <v>-4.3377188952175967E-12</v>
      </c>
      <c r="AW424" s="205">
        <f t="shared" si="569"/>
        <v>-1.8729709692169462E-10</v>
      </c>
      <c r="AX424" s="199"/>
    </row>
    <row r="425" spans="1:50">
      <c r="A425" s="73"/>
      <c r="B425" s="570"/>
      <c r="C425" s="200">
        <f t="shared" si="588"/>
        <v>34</v>
      </c>
      <c r="D425" s="201">
        <f t="shared" si="584"/>
        <v>12</v>
      </c>
      <c r="E425" s="202">
        <f t="shared" ca="1" si="571"/>
        <v>56796</v>
      </c>
      <c r="F425" s="203">
        <f>IF(Dashboard!$Q$5="Float",F424+Dashboard!$R$5/12,F424)</f>
        <v>0.04</v>
      </c>
      <c r="G425" s="204">
        <f t="shared" si="552"/>
        <v>408</v>
      </c>
      <c r="H425" s="205">
        <f t="shared" si="553"/>
        <v>0</v>
      </c>
      <c r="I425" s="205">
        <f t="shared" si="538"/>
        <v>0</v>
      </c>
      <c r="J425" s="205">
        <f t="shared" si="539"/>
        <v>0</v>
      </c>
      <c r="K425" s="205">
        <f t="shared" si="554"/>
        <v>0</v>
      </c>
      <c r="L425" s="205">
        <f t="shared" si="555"/>
        <v>0</v>
      </c>
      <c r="M425" s="199"/>
      <c r="N425" s="200">
        <f t="shared" ca="1" si="556"/>
        <v>22</v>
      </c>
      <c r="O425" s="509">
        <f t="shared" ca="1" si="540"/>
        <v>256</v>
      </c>
      <c r="P425" s="200">
        <f t="shared" ca="1" si="541"/>
        <v>22</v>
      </c>
      <c r="Q425" s="201">
        <f t="shared" si="585"/>
        <v>12</v>
      </c>
      <c r="R425" s="202">
        <f t="shared" si="573"/>
        <v>52201</v>
      </c>
      <c r="S425" s="203">
        <f t="shared" si="557"/>
        <v>0.04</v>
      </c>
      <c r="T425" s="204">
        <f t="shared" ca="1" si="558"/>
        <v>221</v>
      </c>
      <c r="U425" s="205">
        <f t="shared" ca="1" si="559"/>
        <v>266701.42187315447</v>
      </c>
      <c r="V425" s="205">
        <f t="shared" ca="1" si="542"/>
        <v>-2387.0764773272967</v>
      </c>
      <c r="W425" s="205">
        <f t="shared" ca="1" si="543"/>
        <v>-889.00473957718157</v>
      </c>
      <c r="X425" s="205">
        <f t="shared" ca="1" si="560"/>
        <v>-1498.0717377501151</v>
      </c>
      <c r="Y425" s="205">
        <f t="shared" ca="1" si="561"/>
        <v>265203.35013540433</v>
      </c>
      <c r="Z425" s="199"/>
      <c r="AA425" s="200">
        <f t="shared" ca="1" si="549"/>
        <v>34</v>
      </c>
      <c r="AB425" s="509">
        <f t="shared" ca="1" si="544"/>
        <v>407</v>
      </c>
      <c r="AC425" s="200">
        <f t="shared" si="589"/>
        <v>34</v>
      </c>
      <c r="AD425" s="201">
        <f t="shared" si="586"/>
        <v>12</v>
      </c>
      <c r="AE425" s="202">
        <f t="shared" ca="1" si="575"/>
        <v>56796</v>
      </c>
      <c r="AF425" s="203">
        <f>IF(Dashboard!$R$24="Float",AF424+Dashboard!$R$24/12,AF424)</f>
        <v>0.06</v>
      </c>
      <c r="AG425" s="204">
        <f t="shared" si="562"/>
        <v>408</v>
      </c>
      <c r="AH425" s="205">
        <f t="shared" si="563"/>
        <v>0</v>
      </c>
      <c r="AI425" s="205">
        <f t="shared" si="546"/>
        <v>0</v>
      </c>
      <c r="AJ425" s="205">
        <f t="shared" si="547"/>
        <v>0</v>
      </c>
      <c r="AK425" s="205">
        <f t="shared" si="564"/>
        <v>0</v>
      </c>
      <c r="AL425" s="205">
        <f t="shared" si="565"/>
        <v>0</v>
      </c>
      <c r="AM425" s="199"/>
      <c r="AN425" s="200">
        <f t="shared" si="590"/>
        <v>35</v>
      </c>
      <c r="AO425" s="201">
        <f t="shared" si="587"/>
        <v>12</v>
      </c>
      <c r="AP425" s="202">
        <f t="shared" ca="1" si="577"/>
        <v>56796</v>
      </c>
      <c r="AQ425" s="203">
        <f>IF(Dashboard!$S$20="Float",AQ424+Dashboard!$T$20/12,AQ424)</f>
        <v>4.4999999999999998E-2</v>
      </c>
      <c r="AR425" s="204">
        <f t="shared" si="566"/>
        <v>408</v>
      </c>
      <c r="AS425" s="205">
        <f t="shared" si="567"/>
        <v>-1.8729709692169462E-10</v>
      </c>
      <c r="AT425" s="205">
        <f t="shared" si="550"/>
        <v>-3.6516212276183074E-12</v>
      </c>
      <c r="AU425" s="205">
        <f t="shared" si="551"/>
        <v>7.0236411345635478E-13</v>
      </c>
      <c r="AV425" s="205">
        <f t="shared" si="568"/>
        <v>-4.3539853410746621E-12</v>
      </c>
      <c r="AW425" s="205">
        <f t="shared" si="569"/>
        <v>-1.916510822627693E-10</v>
      </c>
      <c r="AX425" s="199"/>
    </row>
    <row r="426" spans="1:50">
      <c r="A426" s="73"/>
      <c r="B426" s="571">
        <f>+C426</f>
        <v>35</v>
      </c>
      <c r="C426" s="16">
        <f t="shared" ref="C426" si="591">+C425+1</f>
        <v>35</v>
      </c>
      <c r="D426" s="17">
        <v>1</v>
      </c>
      <c r="E426" s="18">
        <f t="shared" ca="1" si="571"/>
        <v>56827</v>
      </c>
      <c r="F426" s="10">
        <f>IF(Dashboard!$Q$5="Float",F425+Dashboard!$R$5/12,F425)</f>
        <v>0.04</v>
      </c>
      <c r="G426" s="14">
        <f t="shared" si="552"/>
        <v>409</v>
      </c>
      <c r="H426" s="5">
        <f t="shared" si="553"/>
        <v>0</v>
      </c>
      <c r="I426" s="5">
        <f t="shared" si="538"/>
        <v>0</v>
      </c>
      <c r="J426" s="5">
        <f t="shared" si="539"/>
        <v>0</v>
      </c>
      <c r="K426" s="5">
        <f t="shared" si="554"/>
        <v>0</v>
      </c>
      <c r="L426" s="5">
        <f t="shared" si="555"/>
        <v>0</v>
      </c>
      <c r="M426" s="199"/>
      <c r="N426" s="16">
        <f t="shared" ca="1" si="556"/>
        <v>22</v>
      </c>
      <c r="O426" s="508">
        <f t="shared" ca="1" si="540"/>
        <v>257</v>
      </c>
      <c r="P426" s="16">
        <f t="shared" ca="1" si="541"/>
        <v>22</v>
      </c>
      <c r="Q426" s="17">
        <v>1</v>
      </c>
      <c r="R426" s="18">
        <f t="shared" si="573"/>
        <v>52232</v>
      </c>
      <c r="S426" s="10">
        <f t="shared" si="557"/>
        <v>0.04</v>
      </c>
      <c r="T426" s="14">
        <f t="shared" ca="1" si="558"/>
        <v>222</v>
      </c>
      <c r="U426" s="5">
        <f t="shared" ca="1" si="559"/>
        <v>265203.35013540433</v>
      </c>
      <c r="V426" s="5">
        <f t="shared" ca="1" si="542"/>
        <v>-2387.0764773272963</v>
      </c>
      <c r="W426" s="5">
        <f t="shared" ca="1" si="543"/>
        <v>-884.01116711801444</v>
      </c>
      <c r="X426" s="5">
        <f t="shared" ca="1" si="560"/>
        <v>-1503.065310209282</v>
      </c>
      <c r="Y426" s="5">
        <f t="shared" ca="1" si="561"/>
        <v>263700.28482519503</v>
      </c>
      <c r="Z426" s="199"/>
      <c r="AA426" s="16">
        <f t="shared" ca="1" si="549"/>
        <v>34</v>
      </c>
      <c r="AB426" s="508">
        <f t="shared" ca="1" si="544"/>
        <v>408</v>
      </c>
      <c r="AC426" s="16">
        <f t="shared" ref="AC426" si="592">+AC425+1</f>
        <v>35</v>
      </c>
      <c r="AD426" s="17">
        <v>1</v>
      </c>
      <c r="AE426" s="18">
        <f t="shared" ca="1" si="575"/>
        <v>56827</v>
      </c>
      <c r="AF426" s="10">
        <f>IF(Dashboard!$R$24="Float",AF425+Dashboard!$R$24/12,AF425)</f>
        <v>0.06</v>
      </c>
      <c r="AG426" s="14">
        <f t="shared" si="562"/>
        <v>409</v>
      </c>
      <c r="AH426" s="5">
        <f t="shared" si="563"/>
        <v>0</v>
      </c>
      <c r="AI426" s="5">
        <f t="shared" si="546"/>
        <v>0</v>
      </c>
      <c r="AJ426" s="5">
        <f t="shared" si="547"/>
        <v>0</v>
      </c>
      <c r="AK426" s="5">
        <f t="shared" si="564"/>
        <v>0</v>
      </c>
      <c r="AL426" s="5">
        <f t="shared" si="565"/>
        <v>0</v>
      </c>
      <c r="AM426" s="199"/>
      <c r="AN426" s="16">
        <f t="shared" ref="AN426" si="593">+AN425+1</f>
        <v>36</v>
      </c>
      <c r="AO426" s="17">
        <v>1</v>
      </c>
      <c r="AP426" s="18">
        <f t="shared" ca="1" si="577"/>
        <v>56827</v>
      </c>
      <c r="AQ426" s="10">
        <f>IF(Dashboard!$S$20="Float",AQ425+Dashboard!$T$20/12,AQ425)</f>
        <v>4.4999999999999998E-2</v>
      </c>
      <c r="AR426" s="14">
        <f t="shared" si="566"/>
        <v>409</v>
      </c>
      <c r="AS426" s="5">
        <f t="shared" si="567"/>
        <v>-1.916510822627693E-10</v>
      </c>
      <c r="AT426" s="5">
        <f t="shared" si="550"/>
        <v>-3.6516212276183074E-12</v>
      </c>
      <c r="AU426" s="5">
        <f t="shared" si="551"/>
        <v>7.1869155848538485E-13</v>
      </c>
      <c r="AV426" s="5">
        <f t="shared" si="568"/>
        <v>-4.3703127861036918E-12</v>
      </c>
      <c r="AW426" s="5">
        <f t="shared" si="569"/>
        <v>-1.9602139504887298E-10</v>
      </c>
      <c r="AX426" s="199"/>
    </row>
    <row r="427" spans="1:50">
      <c r="A427" s="73"/>
      <c r="B427" s="572"/>
      <c r="C427" s="16">
        <f>+C426</f>
        <v>35</v>
      </c>
      <c r="D427" s="17">
        <f>+D426+1</f>
        <v>2</v>
      </c>
      <c r="E427" s="18">
        <f t="shared" ca="1" si="571"/>
        <v>56858</v>
      </c>
      <c r="F427" s="10">
        <f>IF(Dashboard!$Q$5="Float",F426+Dashboard!$R$5/12,F426)</f>
        <v>0.04</v>
      </c>
      <c r="G427" s="14">
        <f t="shared" si="552"/>
        <v>410</v>
      </c>
      <c r="H427" s="5">
        <f t="shared" si="553"/>
        <v>0</v>
      </c>
      <c r="I427" s="5">
        <f t="shared" si="538"/>
        <v>0</v>
      </c>
      <c r="J427" s="5">
        <f t="shared" si="539"/>
        <v>0</v>
      </c>
      <c r="K427" s="5">
        <f t="shared" si="554"/>
        <v>0</v>
      </c>
      <c r="L427" s="5">
        <f t="shared" si="555"/>
        <v>0</v>
      </c>
      <c r="M427" s="199"/>
      <c r="N427" s="16">
        <f t="shared" ca="1" si="556"/>
        <v>22</v>
      </c>
      <c r="O427" s="508">
        <f t="shared" ca="1" si="540"/>
        <v>258</v>
      </c>
      <c r="P427" s="16">
        <f t="shared" ca="1" si="541"/>
        <v>22</v>
      </c>
      <c r="Q427" s="17">
        <f>+Q426+1</f>
        <v>2</v>
      </c>
      <c r="R427" s="18">
        <f t="shared" si="573"/>
        <v>52263</v>
      </c>
      <c r="S427" s="10">
        <f t="shared" si="557"/>
        <v>0.04</v>
      </c>
      <c r="T427" s="14">
        <f t="shared" ca="1" si="558"/>
        <v>223</v>
      </c>
      <c r="U427" s="5">
        <f t="shared" ca="1" si="559"/>
        <v>263700.28482519503</v>
      </c>
      <c r="V427" s="5">
        <f t="shared" ca="1" si="542"/>
        <v>-2387.0764773272963</v>
      </c>
      <c r="W427" s="5">
        <f t="shared" ca="1" si="543"/>
        <v>-879.00094941731686</v>
      </c>
      <c r="X427" s="5">
        <f t="shared" ca="1" si="560"/>
        <v>-1508.0755279099794</v>
      </c>
      <c r="Y427" s="5">
        <f t="shared" ca="1" si="561"/>
        <v>262192.20929728507</v>
      </c>
      <c r="Z427" s="199"/>
      <c r="AA427" s="16">
        <f t="shared" ca="1" si="549"/>
        <v>35</v>
      </c>
      <c r="AB427" s="508">
        <f t="shared" ca="1" si="544"/>
        <v>409</v>
      </c>
      <c r="AC427" s="16">
        <f>+AC426</f>
        <v>35</v>
      </c>
      <c r="AD427" s="17">
        <f>+AD426+1</f>
        <v>2</v>
      </c>
      <c r="AE427" s="18">
        <f t="shared" ca="1" si="575"/>
        <v>56858</v>
      </c>
      <c r="AF427" s="10">
        <f>IF(Dashboard!$R$24="Float",AF426+Dashboard!$R$24/12,AF426)</f>
        <v>0.06</v>
      </c>
      <c r="AG427" s="14">
        <f t="shared" si="562"/>
        <v>410</v>
      </c>
      <c r="AH427" s="5">
        <f t="shared" si="563"/>
        <v>0</v>
      </c>
      <c r="AI427" s="5">
        <f t="shared" si="546"/>
        <v>0</v>
      </c>
      <c r="AJ427" s="5">
        <f t="shared" si="547"/>
        <v>0</v>
      </c>
      <c r="AK427" s="5">
        <f t="shared" si="564"/>
        <v>0</v>
      </c>
      <c r="AL427" s="5">
        <f t="shared" si="565"/>
        <v>0</v>
      </c>
      <c r="AM427" s="199"/>
      <c r="AN427" s="16">
        <f>+AN426</f>
        <v>36</v>
      </c>
      <c r="AO427" s="17">
        <f>+AO426+1</f>
        <v>2</v>
      </c>
      <c r="AP427" s="18">
        <f t="shared" ca="1" si="577"/>
        <v>56858</v>
      </c>
      <c r="AQ427" s="10">
        <f>IF(Dashboard!$S$20="Float",AQ426+Dashboard!$T$20/12,AQ426)</f>
        <v>4.4999999999999998E-2</v>
      </c>
      <c r="AR427" s="14">
        <f t="shared" si="566"/>
        <v>410</v>
      </c>
      <c r="AS427" s="5">
        <f t="shared" si="567"/>
        <v>-1.9602139504887298E-10</v>
      </c>
      <c r="AT427" s="5">
        <f t="shared" si="550"/>
        <v>-3.6516212276183074E-12</v>
      </c>
      <c r="AU427" s="5">
        <f t="shared" si="551"/>
        <v>7.3508023143327358E-13</v>
      </c>
      <c r="AV427" s="5">
        <f t="shared" si="568"/>
        <v>-4.3867014590515809E-12</v>
      </c>
      <c r="AW427" s="5">
        <f t="shared" si="569"/>
        <v>-2.0040809650792456E-10</v>
      </c>
      <c r="AX427" s="199"/>
    </row>
    <row r="428" spans="1:50">
      <c r="A428" s="73"/>
      <c r="B428" s="572"/>
      <c r="C428" s="16">
        <f>+C427</f>
        <v>35</v>
      </c>
      <c r="D428" s="17">
        <f>+D427+1</f>
        <v>3</v>
      </c>
      <c r="E428" s="18">
        <f t="shared" ca="1" si="571"/>
        <v>56888</v>
      </c>
      <c r="F428" s="10">
        <f>IF(Dashboard!$Q$5="Float",F427+Dashboard!$R$5/12,F427)</f>
        <v>0.04</v>
      </c>
      <c r="G428" s="14">
        <f t="shared" si="552"/>
        <v>411</v>
      </c>
      <c r="H428" s="5">
        <f t="shared" si="553"/>
        <v>0</v>
      </c>
      <c r="I428" s="5">
        <f t="shared" si="538"/>
        <v>0</v>
      </c>
      <c r="J428" s="5">
        <f t="shared" si="539"/>
        <v>0</v>
      </c>
      <c r="K428" s="5">
        <f t="shared" si="554"/>
        <v>0</v>
      </c>
      <c r="L428" s="5">
        <f t="shared" si="555"/>
        <v>0</v>
      </c>
      <c r="M428" s="199"/>
      <c r="N428" s="16">
        <f t="shared" ca="1" si="556"/>
        <v>22</v>
      </c>
      <c r="O428" s="508">
        <f t="shared" ca="1" si="540"/>
        <v>259</v>
      </c>
      <c r="P428" s="16">
        <f t="shared" ca="1" si="541"/>
        <v>22</v>
      </c>
      <c r="Q428" s="17">
        <f>+Q427+1</f>
        <v>3</v>
      </c>
      <c r="R428" s="18">
        <f t="shared" si="573"/>
        <v>52291</v>
      </c>
      <c r="S428" s="10">
        <f t="shared" si="557"/>
        <v>0.04</v>
      </c>
      <c r="T428" s="14">
        <f t="shared" ca="1" si="558"/>
        <v>224</v>
      </c>
      <c r="U428" s="5">
        <f t="shared" ca="1" si="559"/>
        <v>262192.20929728507</v>
      </c>
      <c r="V428" s="5">
        <f t="shared" ca="1" si="542"/>
        <v>-2387.0764773272963</v>
      </c>
      <c r="W428" s="5">
        <f t="shared" ca="1" si="543"/>
        <v>-873.97403099095027</v>
      </c>
      <c r="X428" s="5">
        <f t="shared" ca="1" si="560"/>
        <v>-1513.102446336346</v>
      </c>
      <c r="Y428" s="5">
        <f t="shared" ca="1" si="561"/>
        <v>260679.10685094871</v>
      </c>
      <c r="Z428" s="199"/>
      <c r="AA428" s="16">
        <f t="shared" ca="1" si="549"/>
        <v>35</v>
      </c>
      <c r="AB428" s="508">
        <f t="shared" ca="1" si="544"/>
        <v>410</v>
      </c>
      <c r="AC428" s="16">
        <f>+AC427</f>
        <v>35</v>
      </c>
      <c r="AD428" s="17">
        <f>+AD427+1</f>
        <v>3</v>
      </c>
      <c r="AE428" s="18">
        <f t="shared" ca="1" si="575"/>
        <v>56888</v>
      </c>
      <c r="AF428" s="10">
        <f>IF(Dashboard!$R$24="Float",AF427+Dashboard!$R$24/12,AF427)</f>
        <v>0.06</v>
      </c>
      <c r="AG428" s="14">
        <f t="shared" si="562"/>
        <v>411</v>
      </c>
      <c r="AH428" s="5">
        <f t="shared" si="563"/>
        <v>0</v>
      </c>
      <c r="AI428" s="5">
        <f t="shared" si="546"/>
        <v>0</v>
      </c>
      <c r="AJ428" s="5">
        <f t="shared" si="547"/>
        <v>0</v>
      </c>
      <c r="AK428" s="5">
        <f t="shared" si="564"/>
        <v>0</v>
      </c>
      <c r="AL428" s="5">
        <f t="shared" si="565"/>
        <v>0</v>
      </c>
      <c r="AM428" s="199"/>
      <c r="AN428" s="16">
        <f>+AN427</f>
        <v>36</v>
      </c>
      <c r="AO428" s="17">
        <f>+AO427+1</f>
        <v>3</v>
      </c>
      <c r="AP428" s="18">
        <f t="shared" ca="1" si="577"/>
        <v>56888</v>
      </c>
      <c r="AQ428" s="10">
        <f>IF(Dashboard!$S$20="Float",AQ427+Dashboard!$T$20/12,AQ427)</f>
        <v>4.4999999999999998E-2</v>
      </c>
      <c r="AR428" s="14">
        <f t="shared" si="566"/>
        <v>411</v>
      </c>
      <c r="AS428" s="5">
        <f t="shared" si="567"/>
        <v>-2.0040809650792456E-10</v>
      </c>
      <c r="AT428" s="5">
        <f t="shared" si="550"/>
        <v>-3.6516212276183074E-12</v>
      </c>
      <c r="AU428" s="5">
        <f t="shared" si="551"/>
        <v>7.5153036190471707E-13</v>
      </c>
      <c r="AV428" s="5">
        <f t="shared" si="568"/>
        <v>-4.4031515895230249E-12</v>
      </c>
      <c r="AW428" s="5">
        <f t="shared" si="569"/>
        <v>-2.048112480974476E-10</v>
      </c>
      <c r="AX428" s="199"/>
    </row>
    <row r="429" spans="1:50">
      <c r="A429" s="73"/>
      <c r="B429" s="572"/>
      <c r="C429" s="16">
        <f>+C428</f>
        <v>35</v>
      </c>
      <c r="D429" s="17">
        <f t="shared" ref="D429:D437" si="594">+D428+1</f>
        <v>4</v>
      </c>
      <c r="E429" s="18">
        <f t="shared" ca="1" si="571"/>
        <v>56919</v>
      </c>
      <c r="F429" s="10">
        <f>IF(Dashboard!$Q$5="Float",F428+Dashboard!$R$5/12,F428)</f>
        <v>0.04</v>
      </c>
      <c r="G429" s="14">
        <f t="shared" si="552"/>
        <v>412</v>
      </c>
      <c r="H429" s="5">
        <f t="shared" si="553"/>
        <v>0</v>
      </c>
      <c r="I429" s="5">
        <f t="shared" si="538"/>
        <v>0</v>
      </c>
      <c r="J429" s="5">
        <f t="shared" si="539"/>
        <v>0</v>
      </c>
      <c r="K429" s="5">
        <f t="shared" si="554"/>
        <v>0</v>
      </c>
      <c r="L429" s="5">
        <f t="shared" si="555"/>
        <v>0</v>
      </c>
      <c r="M429" s="199"/>
      <c r="N429" s="16">
        <f t="shared" ca="1" si="556"/>
        <v>22</v>
      </c>
      <c r="O429" s="508">
        <f t="shared" ca="1" si="540"/>
        <v>260</v>
      </c>
      <c r="P429" s="16">
        <f t="shared" ca="1" si="541"/>
        <v>22</v>
      </c>
      <c r="Q429" s="17">
        <f t="shared" ref="Q429:Q437" si="595">+Q428+1</f>
        <v>4</v>
      </c>
      <c r="R429" s="18">
        <f t="shared" si="573"/>
        <v>52322</v>
      </c>
      <c r="S429" s="10">
        <f t="shared" si="557"/>
        <v>0.04</v>
      </c>
      <c r="T429" s="14">
        <f t="shared" ca="1" si="558"/>
        <v>225</v>
      </c>
      <c r="U429" s="5">
        <f t="shared" ca="1" si="559"/>
        <v>260679.10685094871</v>
      </c>
      <c r="V429" s="5">
        <f t="shared" ca="1" si="542"/>
        <v>-2387.0764773272963</v>
      </c>
      <c r="W429" s="5">
        <f t="shared" ca="1" si="543"/>
        <v>-868.930356169829</v>
      </c>
      <c r="X429" s="5">
        <f t="shared" ca="1" si="560"/>
        <v>-1518.1461211574674</v>
      </c>
      <c r="Y429" s="5">
        <f t="shared" ca="1" si="561"/>
        <v>259160.96072979123</v>
      </c>
      <c r="Z429" s="199"/>
      <c r="AA429" s="16">
        <f t="shared" ca="1" si="549"/>
        <v>35</v>
      </c>
      <c r="AB429" s="508">
        <f t="shared" ca="1" si="544"/>
        <v>411</v>
      </c>
      <c r="AC429" s="16">
        <f>+AC428</f>
        <v>35</v>
      </c>
      <c r="AD429" s="17">
        <f t="shared" ref="AD429:AD437" si="596">+AD428+1</f>
        <v>4</v>
      </c>
      <c r="AE429" s="18">
        <f t="shared" ca="1" si="575"/>
        <v>56919</v>
      </c>
      <c r="AF429" s="10">
        <f>IF(Dashboard!$R$24="Float",AF428+Dashboard!$R$24/12,AF428)</f>
        <v>0.06</v>
      </c>
      <c r="AG429" s="14">
        <f t="shared" si="562"/>
        <v>412</v>
      </c>
      <c r="AH429" s="5">
        <f t="shared" si="563"/>
        <v>0</v>
      </c>
      <c r="AI429" s="5">
        <f t="shared" si="546"/>
        <v>0</v>
      </c>
      <c r="AJ429" s="5">
        <f t="shared" si="547"/>
        <v>0</v>
      </c>
      <c r="AK429" s="5">
        <f t="shared" si="564"/>
        <v>0</v>
      </c>
      <c r="AL429" s="5">
        <f t="shared" si="565"/>
        <v>0</v>
      </c>
      <c r="AM429" s="199"/>
      <c r="AN429" s="16">
        <f>+AN428</f>
        <v>36</v>
      </c>
      <c r="AO429" s="17">
        <f t="shared" ref="AO429:AO437" si="597">+AO428+1</f>
        <v>4</v>
      </c>
      <c r="AP429" s="18">
        <f t="shared" ca="1" si="577"/>
        <v>56919</v>
      </c>
      <c r="AQ429" s="10">
        <f>IF(Dashboard!$S$20="Float",AQ428+Dashboard!$T$20/12,AQ428)</f>
        <v>4.4999999999999998E-2</v>
      </c>
      <c r="AR429" s="14">
        <f t="shared" si="566"/>
        <v>412</v>
      </c>
      <c r="AS429" s="5">
        <f t="shared" si="567"/>
        <v>-2.048112480974476E-10</v>
      </c>
      <c r="AT429" s="5">
        <f t="shared" si="550"/>
        <v>-3.6516212276183074E-12</v>
      </c>
      <c r="AU429" s="5">
        <f t="shared" si="551"/>
        <v>7.6804218036542846E-13</v>
      </c>
      <c r="AV429" s="5">
        <f t="shared" si="568"/>
        <v>-4.4196634079837362E-12</v>
      </c>
      <c r="AW429" s="5">
        <f t="shared" si="569"/>
        <v>-2.0923091150543134E-10</v>
      </c>
      <c r="AX429" s="199"/>
    </row>
    <row r="430" spans="1:50">
      <c r="A430" s="73"/>
      <c r="B430" s="572"/>
      <c r="C430" s="16">
        <f t="shared" ref="C430:C437" si="598">+C429</f>
        <v>35</v>
      </c>
      <c r="D430" s="17">
        <f t="shared" si="594"/>
        <v>5</v>
      </c>
      <c r="E430" s="18">
        <f t="shared" ca="1" si="571"/>
        <v>56949</v>
      </c>
      <c r="F430" s="10">
        <f>IF(Dashboard!$Q$5="Float",F429+Dashboard!$R$5/12,F429)</f>
        <v>0.04</v>
      </c>
      <c r="G430" s="14">
        <f t="shared" si="552"/>
        <v>413</v>
      </c>
      <c r="H430" s="5">
        <f t="shared" si="553"/>
        <v>0</v>
      </c>
      <c r="I430" s="5">
        <f t="shared" si="538"/>
        <v>0</v>
      </c>
      <c r="J430" s="5">
        <f t="shared" si="539"/>
        <v>0</v>
      </c>
      <c r="K430" s="5">
        <f t="shared" si="554"/>
        <v>0</v>
      </c>
      <c r="L430" s="5">
        <f t="shared" si="555"/>
        <v>0</v>
      </c>
      <c r="M430" s="199"/>
      <c r="N430" s="16">
        <f t="shared" ca="1" si="556"/>
        <v>22</v>
      </c>
      <c r="O430" s="508">
        <f t="shared" ca="1" si="540"/>
        <v>261</v>
      </c>
      <c r="P430" s="16">
        <f t="shared" ca="1" si="541"/>
        <v>22</v>
      </c>
      <c r="Q430" s="17">
        <f t="shared" si="595"/>
        <v>5</v>
      </c>
      <c r="R430" s="18">
        <f t="shared" si="573"/>
        <v>52352</v>
      </c>
      <c r="S430" s="10">
        <f t="shared" si="557"/>
        <v>0.04</v>
      </c>
      <c r="T430" s="14">
        <f t="shared" ca="1" si="558"/>
        <v>226</v>
      </c>
      <c r="U430" s="5">
        <f t="shared" ca="1" si="559"/>
        <v>259160.96072979123</v>
      </c>
      <c r="V430" s="5">
        <f t="shared" ca="1" si="542"/>
        <v>-2387.0764773272963</v>
      </c>
      <c r="W430" s="5">
        <f t="shared" ca="1" si="543"/>
        <v>-863.86986909930408</v>
      </c>
      <c r="X430" s="5">
        <f t="shared" ca="1" si="560"/>
        <v>-1523.2066082279921</v>
      </c>
      <c r="Y430" s="5">
        <f t="shared" ca="1" si="561"/>
        <v>257637.75412156325</v>
      </c>
      <c r="Z430" s="199"/>
      <c r="AA430" s="16">
        <f t="shared" ca="1" si="549"/>
        <v>35</v>
      </c>
      <c r="AB430" s="508">
        <f t="shared" ca="1" si="544"/>
        <v>412</v>
      </c>
      <c r="AC430" s="16">
        <f t="shared" ref="AC430:AC437" si="599">+AC429</f>
        <v>35</v>
      </c>
      <c r="AD430" s="17">
        <f t="shared" si="596"/>
        <v>5</v>
      </c>
      <c r="AE430" s="18">
        <f t="shared" ca="1" si="575"/>
        <v>56949</v>
      </c>
      <c r="AF430" s="10">
        <f>IF(Dashboard!$R$24="Float",AF429+Dashboard!$R$24/12,AF429)</f>
        <v>0.06</v>
      </c>
      <c r="AG430" s="14">
        <f t="shared" si="562"/>
        <v>413</v>
      </c>
      <c r="AH430" s="5">
        <f t="shared" si="563"/>
        <v>0</v>
      </c>
      <c r="AI430" s="5">
        <f t="shared" si="546"/>
        <v>0</v>
      </c>
      <c r="AJ430" s="5">
        <f t="shared" si="547"/>
        <v>0</v>
      </c>
      <c r="AK430" s="5">
        <f t="shared" si="564"/>
        <v>0</v>
      </c>
      <c r="AL430" s="5">
        <f t="shared" si="565"/>
        <v>0</v>
      </c>
      <c r="AM430" s="199"/>
      <c r="AN430" s="16">
        <f t="shared" ref="AN430:AN437" si="600">+AN429</f>
        <v>36</v>
      </c>
      <c r="AO430" s="17">
        <f t="shared" si="597"/>
        <v>5</v>
      </c>
      <c r="AP430" s="18">
        <f t="shared" ca="1" si="577"/>
        <v>56949</v>
      </c>
      <c r="AQ430" s="10">
        <f>IF(Dashboard!$S$20="Float",AQ429+Dashboard!$T$20/12,AQ429)</f>
        <v>4.4999999999999998E-2</v>
      </c>
      <c r="AR430" s="14">
        <f t="shared" si="566"/>
        <v>413</v>
      </c>
      <c r="AS430" s="5">
        <f t="shared" si="567"/>
        <v>-2.0923091150543134E-10</v>
      </c>
      <c r="AT430" s="5">
        <f t="shared" si="550"/>
        <v>-3.6516212276183074E-12</v>
      </c>
      <c r="AU430" s="5">
        <f t="shared" si="551"/>
        <v>7.8461591814536753E-13</v>
      </c>
      <c r="AV430" s="5">
        <f t="shared" si="568"/>
        <v>-4.4362371457636749E-12</v>
      </c>
      <c r="AW430" s="5">
        <f t="shared" si="569"/>
        <v>-2.1366714865119502E-10</v>
      </c>
      <c r="AX430" s="199"/>
    </row>
    <row r="431" spans="1:50">
      <c r="A431" s="73"/>
      <c r="B431" s="572"/>
      <c r="C431" s="16">
        <f t="shared" si="598"/>
        <v>35</v>
      </c>
      <c r="D431" s="17">
        <f t="shared" si="594"/>
        <v>6</v>
      </c>
      <c r="E431" s="18">
        <f t="shared" ca="1" si="571"/>
        <v>56980</v>
      </c>
      <c r="F431" s="10">
        <f>IF(Dashboard!$Q$5="Float",F430+Dashboard!$R$5/12,F430)</f>
        <v>0.04</v>
      </c>
      <c r="G431" s="14">
        <f t="shared" si="552"/>
        <v>414</v>
      </c>
      <c r="H431" s="5">
        <f t="shared" si="553"/>
        <v>0</v>
      </c>
      <c r="I431" s="5">
        <f t="shared" si="538"/>
        <v>0</v>
      </c>
      <c r="J431" s="5">
        <f t="shared" si="539"/>
        <v>0</v>
      </c>
      <c r="K431" s="5">
        <f t="shared" si="554"/>
        <v>0</v>
      </c>
      <c r="L431" s="5">
        <f t="shared" si="555"/>
        <v>0</v>
      </c>
      <c r="M431" s="199"/>
      <c r="N431" s="16">
        <f t="shared" ca="1" si="556"/>
        <v>22</v>
      </c>
      <c r="O431" s="508">
        <f t="shared" ca="1" si="540"/>
        <v>262</v>
      </c>
      <c r="P431" s="16">
        <f t="shared" ca="1" si="541"/>
        <v>22</v>
      </c>
      <c r="Q431" s="17">
        <f t="shared" si="595"/>
        <v>6</v>
      </c>
      <c r="R431" s="18">
        <f t="shared" si="573"/>
        <v>52383</v>
      </c>
      <c r="S431" s="10">
        <f t="shared" si="557"/>
        <v>0.04</v>
      </c>
      <c r="T431" s="14">
        <f t="shared" ca="1" si="558"/>
        <v>227</v>
      </c>
      <c r="U431" s="5">
        <f t="shared" ca="1" si="559"/>
        <v>257637.75412156325</v>
      </c>
      <c r="V431" s="5">
        <f t="shared" ca="1" si="542"/>
        <v>-2387.0764773272963</v>
      </c>
      <c r="W431" s="5">
        <f t="shared" ca="1" si="543"/>
        <v>-858.79251373854413</v>
      </c>
      <c r="X431" s="5">
        <f t="shared" ca="1" si="560"/>
        <v>-1528.2839635887522</v>
      </c>
      <c r="Y431" s="5">
        <f t="shared" ca="1" si="561"/>
        <v>256109.47015797449</v>
      </c>
      <c r="Z431" s="199"/>
      <c r="AA431" s="16">
        <f t="shared" ca="1" si="549"/>
        <v>35</v>
      </c>
      <c r="AB431" s="508">
        <f t="shared" ca="1" si="544"/>
        <v>413</v>
      </c>
      <c r="AC431" s="16">
        <f t="shared" si="599"/>
        <v>35</v>
      </c>
      <c r="AD431" s="17">
        <f t="shared" si="596"/>
        <v>6</v>
      </c>
      <c r="AE431" s="18">
        <f t="shared" ca="1" si="575"/>
        <v>56980</v>
      </c>
      <c r="AF431" s="10">
        <f>IF(Dashboard!$R$24="Float",AF430+Dashboard!$R$24/12,AF430)</f>
        <v>0.06</v>
      </c>
      <c r="AG431" s="14">
        <f t="shared" si="562"/>
        <v>414</v>
      </c>
      <c r="AH431" s="5">
        <f t="shared" si="563"/>
        <v>0</v>
      </c>
      <c r="AI431" s="5">
        <f t="shared" si="546"/>
        <v>0</v>
      </c>
      <c r="AJ431" s="5">
        <f t="shared" si="547"/>
        <v>0</v>
      </c>
      <c r="AK431" s="5">
        <f t="shared" si="564"/>
        <v>0</v>
      </c>
      <c r="AL431" s="5">
        <f t="shared" si="565"/>
        <v>0</v>
      </c>
      <c r="AM431" s="199"/>
      <c r="AN431" s="16">
        <f t="shared" si="600"/>
        <v>36</v>
      </c>
      <c r="AO431" s="17">
        <f t="shared" si="597"/>
        <v>6</v>
      </c>
      <c r="AP431" s="18">
        <f t="shared" ca="1" si="577"/>
        <v>56980</v>
      </c>
      <c r="AQ431" s="10">
        <f>IF(Dashboard!$S$20="Float",AQ430+Dashboard!$T$20/12,AQ430)</f>
        <v>4.4999999999999998E-2</v>
      </c>
      <c r="AR431" s="14">
        <f t="shared" si="566"/>
        <v>414</v>
      </c>
      <c r="AS431" s="5">
        <f t="shared" si="567"/>
        <v>-2.1366714865119502E-10</v>
      </c>
      <c r="AT431" s="5">
        <f t="shared" si="550"/>
        <v>-3.6516212276183074E-12</v>
      </c>
      <c r="AU431" s="5">
        <f t="shared" si="551"/>
        <v>8.0125180744198138E-13</v>
      </c>
      <c r="AV431" s="5">
        <f t="shared" si="568"/>
        <v>-4.4528730350602885E-12</v>
      </c>
      <c r="AW431" s="5">
        <f t="shared" si="569"/>
        <v>-2.181200216862553E-10</v>
      </c>
      <c r="AX431" s="199"/>
    </row>
    <row r="432" spans="1:50">
      <c r="A432" s="73"/>
      <c r="B432" s="572"/>
      <c r="C432" s="16">
        <f t="shared" si="598"/>
        <v>35</v>
      </c>
      <c r="D432" s="17">
        <f t="shared" si="594"/>
        <v>7</v>
      </c>
      <c r="E432" s="18">
        <f t="shared" ca="1" si="571"/>
        <v>57011</v>
      </c>
      <c r="F432" s="10">
        <f>IF(Dashboard!$Q$5="Float",F431+Dashboard!$R$5/12,F431)</f>
        <v>0.04</v>
      </c>
      <c r="G432" s="14">
        <f t="shared" si="552"/>
        <v>415</v>
      </c>
      <c r="H432" s="5">
        <f t="shared" si="553"/>
        <v>0</v>
      </c>
      <c r="I432" s="5">
        <f t="shared" si="538"/>
        <v>0</v>
      </c>
      <c r="J432" s="5">
        <f t="shared" si="539"/>
        <v>0</v>
      </c>
      <c r="K432" s="5">
        <f t="shared" si="554"/>
        <v>0</v>
      </c>
      <c r="L432" s="5">
        <f t="shared" si="555"/>
        <v>0</v>
      </c>
      <c r="M432" s="199"/>
      <c r="N432" s="16">
        <f t="shared" ca="1" si="556"/>
        <v>22</v>
      </c>
      <c r="O432" s="508">
        <f t="shared" ca="1" si="540"/>
        <v>263</v>
      </c>
      <c r="P432" s="16">
        <f t="shared" ca="1" si="541"/>
        <v>22</v>
      </c>
      <c r="Q432" s="17">
        <f t="shared" si="595"/>
        <v>7</v>
      </c>
      <c r="R432" s="18">
        <f t="shared" si="573"/>
        <v>52413</v>
      </c>
      <c r="S432" s="10">
        <f t="shared" si="557"/>
        <v>0.04</v>
      </c>
      <c r="T432" s="14">
        <f t="shared" ca="1" si="558"/>
        <v>228</v>
      </c>
      <c r="U432" s="5">
        <f t="shared" ca="1" si="559"/>
        <v>256109.47015797449</v>
      </c>
      <c r="V432" s="5">
        <f t="shared" ca="1" si="542"/>
        <v>-2387.0764773272963</v>
      </c>
      <c r="W432" s="5">
        <f t="shared" ca="1" si="543"/>
        <v>-853.69823385991504</v>
      </c>
      <c r="X432" s="5">
        <f t="shared" ca="1" si="560"/>
        <v>-1533.3782434673813</v>
      </c>
      <c r="Y432" s="5">
        <f t="shared" ca="1" si="561"/>
        <v>254576.09191450709</v>
      </c>
      <c r="Z432" s="199"/>
      <c r="AA432" s="16">
        <f t="shared" ca="1" si="549"/>
        <v>35</v>
      </c>
      <c r="AB432" s="508">
        <f t="shared" ca="1" si="544"/>
        <v>414</v>
      </c>
      <c r="AC432" s="16">
        <f t="shared" si="599"/>
        <v>35</v>
      </c>
      <c r="AD432" s="17">
        <f t="shared" si="596"/>
        <v>7</v>
      </c>
      <c r="AE432" s="18">
        <f t="shared" ca="1" si="575"/>
        <v>57011</v>
      </c>
      <c r="AF432" s="10">
        <f>IF(Dashboard!$R$24="Float",AF431+Dashboard!$R$24/12,AF431)</f>
        <v>0.06</v>
      </c>
      <c r="AG432" s="14">
        <f t="shared" si="562"/>
        <v>415</v>
      </c>
      <c r="AH432" s="5">
        <f t="shared" si="563"/>
        <v>0</v>
      </c>
      <c r="AI432" s="5">
        <f t="shared" si="546"/>
        <v>0</v>
      </c>
      <c r="AJ432" s="5">
        <f t="shared" si="547"/>
        <v>0</v>
      </c>
      <c r="AK432" s="5">
        <f t="shared" si="564"/>
        <v>0</v>
      </c>
      <c r="AL432" s="5">
        <f t="shared" si="565"/>
        <v>0</v>
      </c>
      <c r="AM432" s="199"/>
      <c r="AN432" s="16">
        <f t="shared" si="600"/>
        <v>36</v>
      </c>
      <c r="AO432" s="17">
        <f t="shared" si="597"/>
        <v>7</v>
      </c>
      <c r="AP432" s="18">
        <f t="shared" ca="1" si="577"/>
        <v>57011</v>
      </c>
      <c r="AQ432" s="10">
        <f>IF(Dashboard!$S$20="Float",AQ431+Dashboard!$T$20/12,AQ431)</f>
        <v>4.4999999999999998E-2</v>
      </c>
      <c r="AR432" s="14">
        <f t="shared" si="566"/>
        <v>415</v>
      </c>
      <c r="AS432" s="5">
        <f t="shared" si="567"/>
        <v>-2.181200216862553E-10</v>
      </c>
      <c r="AT432" s="5">
        <f t="shared" si="550"/>
        <v>-3.6516212276183074E-12</v>
      </c>
      <c r="AU432" s="5">
        <f t="shared" si="551"/>
        <v>8.1795008132345742E-13</v>
      </c>
      <c r="AV432" s="5">
        <f t="shared" si="568"/>
        <v>-4.4695713089417649E-12</v>
      </c>
      <c r="AW432" s="5">
        <f t="shared" si="569"/>
        <v>-2.2258959299519707E-10</v>
      </c>
      <c r="AX432" s="199"/>
    </row>
    <row r="433" spans="1:50">
      <c r="A433" s="73"/>
      <c r="B433" s="572"/>
      <c r="C433" s="16">
        <f t="shared" si="598"/>
        <v>35</v>
      </c>
      <c r="D433" s="17">
        <f t="shared" si="594"/>
        <v>8</v>
      </c>
      <c r="E433" s="18">
        <f t="shared" ca="1" si="571"/>
        <v>57040</v>
      </c>
      <c r="F433" s="10">
        <f>IF(Dashboard!$Q$5="Float",F432+Dashboard!$R$5/12,F432)</f>
        <v>0.04</v>
      </c>
      <c r="G433" s="14">
        <f t="shared" si="552"/>
        <v>416</v>
      </c>
      <c r="H433" s="5">
        <f t="shared" si="553"/>
        <v>0</v>
      </c>
      <c r="I433" s="5">
        <f t="shared" si="538"/>
        <v>0</v>
      </c>
      <c r="J433" s="5">
        <f t="shared" si="539"/>
        <v>0</v>
      </c>
      <c r="K433" s="5">
        <f t="shared" si="554"/>
        <v>0</v>
      </c>
      <c r="L433" s="5">
        <f t="shared" si="555"/>
        <v>0</v>
      </c>
      <c r="M433" s="199"/>
      <c r="N433" s="16">
        <f t="shared" ca="1" si="556"/>
        <v>22</v>
      </c>
      <c r="O433" s="508">
        <f t="shared" ca="1" si="540"/>
        <v>264</v>
      </c>
      <c r="P433" s="16">
        <f t="shared" ca="1" si="541"/>
        <v>23</v>
      </c>
      <c r="Q433" s="17">
        <f t="shared" si="595"/>
        <v>8</v>
      </c>
      <c r="R433" s="18">
        <f t="shared" si="573"/>
        <v>52444</v>
      </c>
      <c r="S433" s="10">
        <f t="shared" si="557"/>
        <v>0.04</v>
      </c>
      <c r="T433" s="14">
        <f t="shared" ca="1" si="558"/>
        <v>229</v>
      </c>
      <c r="U433" s="5">
        <f t="shared" ca="1" si="559"/>
        <v>254576.09191450709</v>
      </c>
      <c r="V433" s="5">
        <f t="shared" ca="1" si="542"/>
        <v>-2387.0764773272963</v>
      </c>
      <c r="W433" s="5">
        <f t="shared" ca="1" si="543"/>
        <v>-848.58697304835698</v>
      </c>
      <c r="X433" s="5">
        <f t="shared" ca="1" si="560"/>
        <v>-1538.4895042789394</v>
      </c>
      <c r="Y433" s="5">
        <f t="shared" ca="1" si="561"/>
        <v>253037.60241022817</v>
      </c>
      <c r="Z433" s="199"/>
      <c r="AA433" s="16">
        <f t="shared" ca="1" si="549"/>
        <v>35</v>
      </c>
      <c r="AB433" s="508">
        <f t="shared" ca="1" si="544"/>
        <v>415</v>
      </c>
      <c r="AC433" s="16">
        <f t="shared" si="599"/>
        <v>35</v>
      </c>
      <c r="AD433" s="17">
        <f t="shared" si="596"/>
        <v>8</v>
      </c>
      <c r="AE433" s="18">
        <f t="shared" ca="1" si="575"/>
        <v>57040</v>
      </c>
      <c r="AF433" s="10">
        <f>IF(Dashboard!$R$24="Float",AF432+Dashboard!$R$24/12,AF432)</f>
        <v>0.06</v>
      </c>
      <c r="AG433" s="14">
        <f t="shared" si="562"/>
        <v>416</v>
      </c>
      <c r="AH433" s="5">
        <f t="shared" si="563"/>
        <v>0</v>
      </c>
      <c r="AI433" s="5">
        <f t="shared" si="546"/>
        <v>0</v>
      </c>
      <c r="AJ433" s="5">
        <f t="shared" si="547"/>
        <v>0</v>
      </c>
      <c r="AK433" s="5">
        <f t="shared" si="564"/>
        <v>0</v>
      </c>
      <c r="AL433" s="5">
        <f t="shared" si="565"/>
        <v>0</v>
      </c>
      <c r="AM433" s="199"/>
      <c r="AN433" s="16">
        <f t="shared" si="600"/>
        <v>36</v>
      </c>
      <c r="AO433" s="17">
        <f t="shared" si="597"/>
        <v>8</v>
      </c>
      <c r="AP433" s="18">
        <f t="shared" ca="1" si="577"/>
        <v>57040</v>
      </c>
      <c r="AQ433" s="10">
        <f>IF(Dashboard!$S$20="Float",AQ432+Dashboard!$T$20/12,AQ432)</f>
        <v>4.4999999999999998E-2</v>
      </c>
      <c r="AR433" s="14">
        <f t="shared" si="566"/>
        <v>416</v>
      </c>
      <c r="AS433" s="5">
        <f t="shared" si="567"/>
        <v>-2.2258959299519707E-10</v>
      </c>
      <c r="AT433" s="5">
        <f t="shared" si="550"/>
        <v>-3.6516212276183082E-12</v>
      </c>
      <c r="AU433" s="5">
        <f t="shared" si="551"/>
        <v>8.3471097373198901E-13</v>
      </c>
      <c r="AV433" s="5">
        <f t="shared" si="568"/>
        <v>-4.4863322013502976E-12</v>
      </c>
      <c r="AW433" s="5">
        <f t="shared" si="569"/>
        <v>-2.2707592519654737E-10</v>
      </c>
      <c r="AX433" s="199"/>
    </row>
    <row r="434" spans="1:50">
      <c r="A434" s="73"/>
      <c r="B434" s="572"/>
      <c r="C434" s="16">
        <f t="shared" si="598"/>
        <v>35</v>
      </c>
      <c r="D434" s="17">
        <f t="shared" si="594"/>
        <v>9</v>
      </c>
      <c r="E434" s="18">
        <f t="shared" ca="1" si="571"/>
        <v>57071</v>
      </c>
      <c r="F434" s="10">
        <f>IF(Dashboard!$Q$5="Float",F433+Dashboard!$R$5/12,F433)</f>
        <v>0.04</v>
      </c>
      <c r="G434" s="14">
        <f t="shared" si="552"/>
        <v>417</v>
      </c>
      <c r="H434" s="5">
        <f t="shared" si="553"/>
        <v>0</v>
      </c>
      <c r="I434" s="5">
        <f t="shared" si="538"/>
        <v>0</v>
      </c>
      <c r="J434" s="5">
        <f t="shared" si="539"/>
        <v>0</v>
      </c>
      <c r="K434" s="5">
        <f t="shared" si="554"/>
        <v>0</v>
      </c>
      <c r="L434" s="5">
        <f t="shared" si="555"/>
        <v>0</v>
      </c>
      <c r="M434" s="199"/>
      <c r="N434" s="16">
        <f t="shared" ca="1" si="556"/>
        <v>23</v>
      </c>
      <c r="O434" s="508">
        <f t="shared" ca="1" si="540"/>
        <v>265</v>
      </c>
      <c r="P434" s="16">
        <f t="shared" ca="1" si="541"/>
        <v>23</v>
      </c>
      <c r="Q434" s="17">
        <f t="shared" si="595"/>
        <v>9</v>
      </c>
      <c r="R434" s="18">
        <f t="shared" si="573"/>
        <v>52475</v>
      </c>
      <c r="S434" s="10">
        <f t="shared" si="557"/>
        <v>0.04</v>
      </c>
      <c r="T434" s="14">
        <f t="shared" ca="1" si="558"/>
        <v>230</v>
      </c>
      <c r="U434" s="5">
        <f t="shared" ca="1" si="559"/>
        <v>253037.60241022817</v>
      </c>
      <c r="V434" s="5">
        <f t="shared" ca="1" si="542"/>
        <v>-2387.0764773272963</v>
      </c>
      <c r="W434" s="5">
        <f t="shared" ca="1" si="543"/>
        <v>-843.45867470076064</v>
      </c>
      <c r="X434" s="5">
        <f t="shared" ca="1" si="560"/>
        <v>-1543.6178026265356</v>
      </c>
      <c r="Y434" s="5">
        <f t="shared" ca="1" si="561"/>
        <v>251493.98460760163</v>
      </c>
      <c r="Z434" s="199"/>
      <c r="AA434" s="16">
        <f t="shared" ca="1" si="549"/>
        <v>35</v>
      </c>
      <c r="AB434" s="508">
        <f t="shared" ca="1" si="544"/>
        <v>416</v>
      </c>
      <c r="AC434" s="16">
        <f t="shared" si="599"/>
        <v>35</v>
      </c>
      <c r="AD434" s="17">
        <f t="shared" si="596"/>
        <v>9</v>
      </c>
      <c r="AE434" s="18">
        <f t="shared" ca="1" si="575"/>
        <v>57071</v>
      </c>
      <c r="AF434" s="10">
        <f>IF(Dashboard!$R$24="Float",AF433+Dashboard!$R$24/12,AF433)</f>
        <v>0.06</v>
      </c>
      <c r="AG434" s="14">
        <f t="shared" si="562"/>
        <v>417</v>
      </c>
      <c r="AH434" s="5">
        <f t="shared" si="563"/>
        <v>0</v>
      </c>
      <c r="AI434" s="5">
        <f t="shared" si="546"/>
        <v>0</v>
      </c>
      <c r="AJ434" s="5">
        <f t="shared" si="547"/>
        <v>0</v>
      </c>
      <c r="AK434" s="5">
        <f t="shared" si="564"/>
        <v>0</v>
      </c>
      <c r="AL434" s="5">
        <f t="shared" si="565"/>
        <v>0</v>
      </c>
      <c r="AM434" s="199"/>
      <c r="AN434" s="16">
        <f t="shared" si="600"/>
        <v>36</v>
      </c>
      <c r="AO434" s="17">
        <f t="shared" si="597"/>
        <v>9</v>
      </c>
      <c r="AP434" s="18">
        <f t="shared" ca="1" si="577"/>
        <v>57071</v>
      </c>
      <c r="AQ434" s="10">
        <f>IF(Dashboard!$S$20="Float",AQ433+Dashboard!$T$20/12,AQ433)</f>
        <v>4.4999999999999998E-2</v>
      </c>
      <c r="AR434" s="14">
        <f t="shared" si="566"/>
        <v>417</v>
      </c>
      <c r="AS434" s="5">
        <f t="shared" si="567"/>
        <v>-2.2707592519654737E-10</v>
      </c>
      <c r="AT434" s="5">
        <f t="shared" si="550"/>
        <v>-3.6516212276183074E-12</v>
      </c>
      <c r="AU434" s="5">
        <f t="shared" si="551"/>
        <v>8.5153471948705257E-13</v>
      </c>
      <c r="AV434" s="5">
        <f t="shared" si="568"/>
        <v>-4.5031559471053599E-12</v>
      </c>
      <c r="AW434" s="5">
        <f t="shared" si="569"/>
        <v>-2.3157908114365273E-10</v>
      </c>
      <c r="AX434" s="199"/>
    </row>
    <row r="435" spans="1:50">
      <c r="A435" s="73"/>
      <c r="B435" s="572"/>
      <c r="C435" s="16">
        <f t="shared" si="598"/>
        <v>35</v>
      </c>
      <c r="D435" s="17">
        <f t="shared" si="594"/>
        <v>10</v>
      </c>
      <c r="E435" s="18">
        <f t="shared" ca="1" si="571"/>
        <v>57101</v>
      </c>
      <c r="F435" s="10">
        <f>IF(Dashboard!$Q$5="Float",F434+Dashboard!$R$5/12,F434)</f>
        <v>0.04</v>
      </c>
      <c r="G435" s="14">
        <f t="shared" si="552"/>
        <v>418</v>
      </c>
      <c r="H435" s="5">
        <f t="shared" si="553"/>
        <v>0</v>
      </c>
      <c r="I435" s="5">
        <f t="shared" si="538"/>
        <v>0</v>
      </c>
      <c r="J435" s="5">
        <f t="shared" si="539"/>
        <v>0</v>
      </c>
      <c r="K435" s="5">
        <f t="shared" si="554"/>
        <v>0</v>
      </c>
      <c r="L435" s="5">
        <f t="shared" si="555"/>
        <v>0</v>
      </c>
      <c r="M435" s="199"/>
      <c r="N435" s="16">
        <f t="shared" ca="1" si="556"/>
        <v>23</v>
      </c>
      <c r="O435" s="508">
        <f t="shared" ca="1" si="540"/>
        <v>266</v>
      </c>
      <c r="P435" s="16">
        <f t="shared" ca="1" si="541"/>
        <v>23</v>
      </c>
      <c r="Q435" s="17">
        <f t="shared" si="595"/>
        <v>10</v>
      </c>
      <c r="R435" s="18">
        <f t="shared" si="573"/>
        <v>52505</v>
      </c>
      <c r="S435" s="10">
        <f t="shared" si="557"/>
        <v>0.04</v>
      </c>
      <c r="T435" s="14">
        <f t="shared" ca="1" si="558"/>
        <v>231</v>
      </c>
      <c r="U435" s="5">
        <f t="shared" ca="1" si="559"/>
        <v>251493.98460760163</v>
      </c>
      <c r="V435" s="5">
        <f t="shared" ca="1" si="542"/>
        <v>-2387.0764773272963</v>
      </c>
      <c r="W435" s="5">
        <f t="shared" ca="1" si="543"/>
        <v>-838.31328202533871</v>
      </c>
      <c r="X435" s="5">
        <f t="shared" ca="1" si="560"/>
        <v>-1548.7631953019577</v>
      </c>
      <c r="Y435" s="5">
        <f t="shared" ca="1" si="561"/>
        <v>249945.22141229967</v>
      </c>
      <c r="Z435" s="199"/>
      <c r="AA435" s="16">
        <f t="shared" ca="1" si="549"/>
        <v>35</v>
      </c>
      <c r="AB435" s="508">
        <f t="shared" ca="1" si="544"/>
        <v>417</v>
      </c>
      <c r="AC435" s="16">
        <f t="shared" si="599"/>
        <v>35</v>
      </c>
      <c r="AD435" s="17">
        <f t="shared" si="596"/>
        <v>10</v>
      </c>
      <c r="AE435" s="18">
        <f t="shared" ca="1" si="575"/>
        <v>57101</v>
      </c>
      <c r="AF435" s="10">
        <f>IF(Dashboard!$R$24="Float",AF434+Dashboard!$R$24/12,AF434)</f>
        <v>0.06</v>
      </c>
      <c r="AG435" s="14">
        <f t="shared" si="562"/>
        <v>418</v>
      </c>
      <c r="AH435" s="5">
        <f t="shared" si="563"/>
        <v>0</v>
      </c>
      <c r="AI435" s="5">
        <f t="shared" si="546"/>
        <v>0</v>
      </c>
      <c r="AJ435" s="5">
        <f t="shared" si="547"/>
        <v>0</v>
      </c>
      <c r="AK435" s="5">
        <f t="shared" si="564"/>
        <v>0</v>
      </c>
      <c r="AL435" s="5">
        <f t="shared" si="565"/>
        <v>0</v>
      </c>
      <c r="AM435" s="199"/>
      <c r="AN435" s="16">
        <f t="shared" si="600"/>
        <v>36</v>
      </c>
      <c r="AO435" s="17">
        <f t="shared" si="597"/>
        <v>10</v>
      </c>
      <c r="AP435" s="18">
        <f t="shared" ca="1" si="577"/>
        <v>57101</v>
      </c>
      <c r="AQ435" s="10">
        <f>IF(Dashboard!$S$20="Float",AQ434+Dashboard!$T$20/12,AQ434)</f>
        <v>4.4999999999999998E-2</v>
      </c>
      <c r="AR435" s="14">
        <f t="shared" si="566"/>
        <v>418</v>
      </c>
      <c r="AS435" s="5">
        <f t="shared" si="567"/>
        <v>-2.3157908114365273E-10</v>
      </c>
      <c r="AT435" s="5">
        <f t="shared" si="550"/>
        <v>-3.6516212276183074E-12</v>
      </c>
      <c r="AU435" s="5">
        <f t="shared" si="551"/>
        <v>8.6842155428869776E-13</v>
      </c>
      <c r="AV435" s="5">
        <f t="shared" si="568"/>
        <v>-4.5200427819070056E-12</v>
      </c>
      <c r="AW435" s="5">
        <f t="shared" si="569"/>
        <v>-2.3609912392555972E-10</v>
      </c>
      <c r="AX435" s="199"/>
    </row>
    <row r="436" spans="1:50">
      <c r="A436" s="73"/>
      <c r="B436" s="572"/>
      <c r="C436" s="16">
        <f t="shared" si="598"/>
        <v>35</v>
      </c>
      <c r="D436" s="17">
        <f t="shared" si="594"/>
        <v>11</v>
      </c>
      <c r="E436" s="18">
        <f t="shared" ca="1" si="571"/>
        <v>57132</v>
      </c>
      <c r="F436" s="10">
        <f>IF(Dashboard!$Q$5="Float",F435+Dashboard!$R$5/12,F435)</f>
        <v>0.04</v>
      </c>
      <c r="G436" s="14">
        <f t="shared" si="552"/>
        <v>419</v>
      </c>
      <c r="H436" s="5">
        <f t="shared" si="553"/>
        <v>0</v>
      </c>
      <c r="I436" s="5">
        <f t="shared" si="538"/>
        <v>0</v>
      </c>
      <c r="J436" s="5">
        <f t="shared" si="539"/>
        <v>0</v>
      </c>
      <c r="K436" s="5">
        <f t="shared" si="554"/>
        <v>0</v>
      </c>
      <c r="L436" s="5">
        <f t="shared" si="555"/>
        <v>0</v>
      </c>
      <c r="M436" s="199"/>
      <c r="N436" s="16">
        <f t="shared" ca="1" si="556"/>
        <v>23</v>
      </c>
      <c r="O436" s="508">
        <f t="shared" ca="1" si="540"/>
        <v>267</v>
      </c>
      <c r="P436" s="16">
        <f t="shared" ca="1" si="541"/>
        <v>23</v>
      </c>
      <c r="Q436" s="17">
        <f t="shared" si="595"/>
        <v>11</v>
      </c>
      <c r="R436" s="18">
        <f t="shared" si="573"/>
        <v>52536</v>
      </c>
      <c r="S436" s="10">
        <f t="shared" si="557"/>
        <v>0.04</v>
      </c>
      <c r="T436" s="14">
        <f t="shared" ca="1" si="558"/>
        <v>232</v>
      </c>
      <c r="U436" s="5">
        <f t="shared" ca="1" si="559"/>
        <v>249945.22141229967</v>
      </c>
      <c r="V436" s="5">
        <f t="shared" ca="1" si="542"/>
        <v>-2387.0764773272963</v>
      </c>
      <c r="W436" s="5">
        <f t="shared" ca="1" si="543"/>
        <v>-833.15073804099893</v>
      </c>
      <c r="X436" s="5">
        <f t="shared" ca="1" si="560"/>
        <v>-1553.9257392862974</v>
      </c>
      <c r="Y436" s="5">
        <f t="shared" ca="1" si="561"/>
        <v>248391.29567301337</v>
      </c>
      <c r="Z436" s="199"/>
      <c r="AA436" s="16">
        <f t="shared" ca="1" si="549"/>
        <v>35</v>
      </c>
      <c r="AB436" s="508">
        <f t="shared" ca="1" si="544"/>
        <v>418</v>
      </c>
      <c r="AC436" s="16">
        <f t="shared" si="599"/>
        <v>35</v>
      </c>
      <c r="AD436" s="17">
        <f t="shared" si="596"/>
        <v>11</v>
      </c>
      <c r="AE436" s="18">
        <f t="shared" ca="1" si="575"/>
        <v>57132</v>
      </c>
      <c r="AF436" s="10">
        <f>IF(Dashboard!$R$24="Float",AF435+Dashboard!$R$24/12,AF435)</f>
        <v>0.06</v>
      </c>
      <c r="AG436" s="14">
        <f t="shared" si="562"/>
        <v>419</v>
      </c>
      <c r="AH436" s="5">
        <f t="shared" si="563"/>
        <v>0</v>
      </c>
      <c r="AI436" s="5">
        <f t="shared" si="546"/>
        <v>0</v>
      </c>
      <c r="AJ436" s="5">
        <f t="shared" si="547"/>
        <v>0</v>
      </c>
      <c r="AK436" s="5">
        <f t="shared" si="564"/>
        <v>0</v>
      </c>
      <c r="AL436" s="5">
        <f t="shared" si="565"/>
        <v>0</v>
      </c>
      <c r="AM436" s="199"/>
      <c r="AN436" s="16">
        <f t="shared" si="600"/>
        <v>36</v>
      </c>
      <c r="AO436" s="17">
        <f t="shared" si="597"/>
        <v>11</v>
      </c>
      <c r="AP436" s="18">
        <f t="shared" ca="1" si="577"/>
        <v>57132</v>
      </c>
      <c r="AQ436" s="10">
        <f>IF(Dashboard!$S$20="Float",AQ435+Dashboard!$T$20/12,AQ435)</f>
        <v>4.4999999999999998E-2</v>
      </c>
      <c r="AR436" s="14">
        <f t="shared" si="566"/>
        <v>419</v>
      </c>
      <c r="AS436" s="5">
        <f t="shared" si="567"/>
        <v>-2.3609912392555972E-10</v>
      </c>
      <c r="AT436" s="5">
        <f t="shared" si="550"/>
        <v>-3.6516212276183074E-12</v>
      </c>
      <c r="AU436" s="5">
        <f t="shared" si="551"/>
        <v>8.8537171472084885E-13</v>
      </c>
      <c r="AV436" s="5">
        <f t="shared" si="568"/>
        <v>-4.5369929423391561E-12</v>
      </c>
      <c r="AW436" s="5">
        <f t="shared" si="569"/>
        <v>-2.4063611686789885E-10</v>
      </c>
      <c r="AX436" s="199"/>
    </row>
    <row r="437" spans="1:50">
      <c r="A437" s="73"/>
      <c r="B437" s="572"/>
      <c r="C437" s="16">
        <f t="shared" si="598"/>
        <v>35</v>
      </c>
      <c r="D437" s="17">
        <f t="shared" si="594"/>
        <v>12</v>
      </c>
      <c r="E437" s="18">
        <f t="shared" ca="1" si="571"/>
        <v>57162</v>
      </c>
      <c r="F437" s="10">
        <f>IF(Dashboard!$Q$5="Float",F436+Dashboard!$R$5/12,F436)</f>
        <v>0.04</v>
      </c>
      <c r="G437" s="14">
        <f t="shared" si="552"/>
        <v>420</v>
      </c>
      <c r="H437" s="5">
        <f t="shared" si="553"/>
        <v>0</v>
      </c>
      <c r="I437" s="5">
        <f t="shared" si="538"/>
        <v>0</v>
      </c>
      <c r="J437" s="5">
        <f t="shared" si="539"/>
        <v>0</v>
      </c>
      <c r="K437" s="5">
        <f t="shared" si="554"/>
        <v>0</v>
      </c>
      <c r="L437" s="5">
        <f t="shared" si="555"/>
        <v>0</v>
      </c>
      <c r="M437" s="199"/>
      <c r="N437" s="16">
        <f t="shared" ca="1" si="556"/>
        <v>23</v>
      </c>
      <c r="O437" s="508">
        <f t="shared" ca="1" si="540"/>
        <v>268</v>
      </c>
      <c r="P437" s="16">
        <f t="shared" ca="1" si="541"/>
        <v>23</v>
      </c>
      <c r="Q437" s="17">
        <f t="shared" si="595"/>
        <v>12</v>
      </c>
      <c r="R437" s="18">
        <f t="shared" si="573"/>
        <v>52566</v>
      </c>
      <c r="S437" s="10">
        <f t="shared" si="557"/>
        <v>0.04</v>
      </c>
      <c r="T437" s="14">
        <f t="shared" ca="1" si="558"/>
        <v>233</v>
      </c>
      <c r="U437" s="5">
        <f t="shared" ca="1" si="559"/>
        <v>248391.29567301337</v>
      </c>
      <c r="V437" s="5">
        <f t="shared" ca="1" si="542"/>
        <v>-2387.0764773272963</v>
      </c>
      <c r="W437" s="5">
        <f t="shared" ca="1" si="543"/>
        <v>-827.97098557671131</v>
      </c>
      <c r="X437" s="5">
        <f t="shared" ca="1" si="560"/>
        <v>-1559.1054917505849</v>
      </c>
      <c r="Y437" s="5">
        <f t="shared" ca="1" si="561"/>
        <v>246832.19018126279</v>
      </c>
      <c r="Z437" s="199"/>
      <c r="AA437" s="16">
        <f t="shared" ca="1" si="549"/>
        <v>35</v>
      </c>
      <c r="AB437" s="508">
        <f t="shared" ca="1" si="544"/>
        <v>419</v>
      </c>
      <c r="AC437" s="16">
        <f t="shared" si="599"/>
        <v>35</v>
      </c>
      <c r="AD437" s="17">
        <f t="shared" si="596"/>
        <v>12</v>
      </c>
      <c r="AE437" s="18">
        <f t="shared" ca="1" si="575"/>
        <v>57162</v>
      </c>
      <c r="AF437" s="10">
        <f>IF(Dashboard!$R$24="Float",AF436+Dashboard!$R$24/12,AF436)</f>
        <v>0.06</v>
      </c>
      <c r="AG437" s="14">
        <f t="shared" si="562"/>
        <v>420</v>
      </c>
      <c r="AH437" s="5">
        <f t="shared" si="563"/>
        <v>0</v>
      </c>
      <c r="AI437" s="5">
        <f t="shared" si="546"/>
        <v>0</v>
      </c>
      <c r="AJ437" s="5">
        <f t="shared" si="547"/>
        <v>0</v>
      </c>
      <c r="AK437" s="5">
        <f t="shared" si="564"/>
        <v>0</v>
      </c>
      <c r="AL437" s="5">
        <f t="shared" si="565"/>
        <v>0</v>
      </c>
      <c r="AM437" s="199"/>
      <c r="AN437" s="16">
        <f t="shared" si="600"/>
        <v>36</v>
      </c>
      <c r="AO437" s="17">
        <f t="shared" si="597"/>
        <v>12</v>
      </c>
      <c r="AP437" s="18">
        <f t="shared" ca="1" si="577"/>
        <v>57162</v>
      </c>
      <c r="AQ437" s="10">
        <f>IF(Dashboard!$S$20="Float",AQ436+Dashboard!$T$20/12,AQ436)</f>
        <v>4.4999999999999998E-2</v>
      </c>
      <c r="AR437" s="14">
        <f t="shared" si="566"/>
        <v>420</v>
      </c>
      <c r="AS437" s="5">
        <f t="shared" si="567"/>
        <v>-2.4063611686789885E-10</v>
      </c>
      <c r="AT437" s="5">
        <f t="shared" si="550"/>
        <v>-3.6516212276183074E-12</v>
      </c>
      <c r="AU437" s="5">
        <f t="shared" si="551"/>
        <v>9.023854382546206E-13</v>
      </c>
      <c r="AV437" s="5">
        <f t="shared" si="568"/>
        <v>-4.5540066658729279E-12</v>
      </c>
      <c r="AW437" s="5">
        <f t="shared" si="569"/>
        <v>-2.451901235337718E-10</v>
      </c>
      <c r="AX437" s="199"/>
    </row>
    <row r="438" spans="1:50" ht="12.75" customHeight="1">
      <c r="A438" s="73"/>
      <c r="B438" s="570">
        <f>+C438</f>
        <v>36</v>
      </c>
      <c r="C438" s="200">
        <f t="shared" ref="C438" si="601">+C437+1</f>
        <v>36</v>
      </c>
      <c r="D438" s="201">
        <v>1</v>
      </c>
      <c r="E438" s="202">
        <f t="shared" ca="1" si="571"/>
        <v>57193</v>
      </c>
      <c r="F438" s="203">
        <f>IF(Dashboard!$Q$5="Float",F437+Dashboard!$R$5/12,F437)</f>
        <v>0.04</v>
      </c>
      <c r="G438" s="204">
        <f t="shared" si="552"/>
        <v>421</v>
      </c>
      <c r="H438" s="205">
        <f t="shared" si="553"/>
        <v>0</v>
      </c>
      <c r="I438" s="205">
        <f t="shared" si="538"/>
        <v>0</v>
      </c>
      <c r="J438" s="205">
        <f t="shared" si="539"/>
        <v>0</v>
      </c>
      <c r="K438" s="205">
        <f t="shared" si="554"/>
        <v>0</v>
      </c>
      <c r="L438" s="205">
        <f t="shared" si="555"/>
        <v>0</v>
      </c>
      <c r="M438" s="199"/>
      <c r="N438" s="200">
        <f t="shared" ca="1" si="556"/>
        <v>23</v>
      </c>
      <c r="O438" s="509">
        <f t="shared" ca="1" si="540"/>
        <v>269</v>
      </c>
      <c r="P438" s="200">
        <f t="shared" ca="1" si="541"/>
        <v>23</v>
      </c>
      <c r="Q438" s="201">
        <v>1</v>
      </c>
      <c r="R438" s="202">
        <f t="shared" si="573"/>
        <v>52597</v>
      </c>
      <c r="S438" s="203">
        <f t="shared" si="557"/>
        <v>0.04</v>
      </c>
      <c r="T438" s="204">
        <f t="shared" ca="1" si="558"/>
        <v>234</v>
      </c>
      <c r="U438" s="205">
        <f t="shared" ca="1" si="559"/>
        <v>246832.19018126279</v>
      </c>
      <c r="V438" s="205">
        <f t="shared" ca="1" si="542"/>
        <v>-2387.0764773272958</v>
      </c>
      <c r="W438" s="205">
        <f t="shared" ca="1" si="543"/>
        <v>-822.77396727087591</v>
      </c>
      <c r="X438" s="205">
        <f t="shared" ca="1" si="560"/>
        <v>-1564.30251005642</v>
      </c>
      <c r="Y438" s="205">
        <f t="shared" ca="1" si="561"/>
        <v>245267.88767120638</v>
      </c>
      <c r="Z438" s="199"/>
      <c r="AA438" s="200">
        <f t="shared" ca="1" si="549"/>
        <v>35</v>
      </c>
      <c r="AB438" s="509">
        <f t="shared" ca="1" si="544"/>
        <v>420</v>
      </c>
      <c r="AC438" s="200">
        <f t="shared" ref="AC438" si="602">+AC437+1</f>
        <v>36</v>
      </c>
      <c r="AD438" s="201">
        <v>1</v>
      </c>
      <c r="AE438" s="202">
        <f t="shared" ca="1" si="575"/>
        <v>57193</v>
      </c>
      <c r="AF438" s="203">
        <f>IF(Dashboard!$R$24="Float",AF437+Dashboard!$R$24/12,AF437)</f>
        <v>0.06</v>
      </c>
      <c r="AG438" s="204">
        <f t="shared" si="562"/>
        <v>421</v>
      </c>
      <c r="AH438" s="205">
        <f t="shared" si="563"/>
        <v>0</v>
      </c>
      <c r="AI438" s="205">
        <f t="shared" si="546"/>
        <v>0</v>
      </c>
      <c r="AJ438" s="205">
        <f t="shared" si="547"/>
        <v>0</v>
      </c>
      <c r="AK438" s="205">
        <f t="shared" si="564"/>
        <v>0</v>
      </c>
      <c r="AL438" s="205">
        <f t="shared" si="565"/>
        <v>0</v>
      </c>
      <c r="AM438" s="199"/>
      <c r="AN438" s="200">
        <f t="shared" ref="AN438" si="603">+AN437+1</f>
        <v>37</v>
      </c>
      <c r="AO438" s="201">
        <v>1</v>
      </c>
      <c r="AP438" s="202">
        <f t="shared" ca="1" si="577"/>
        <v>57193</v>
      </c>
      <c r="AQ438" s="203">
        <f>IF(Dashboard!$S$20="Float",AQ437+Dashboard!$T$20/12,AQ437)</f>
        <v>4.4999999999999998E-2</v>
      </c>
      <c r="AR438" s="204">
        <f t="shared" si="566"/>
        <v>421</v>
      </c>
      <c r="AS438" s="205">
        <f t="shared" si="567"/>
        <v>-2.451901235337718E-10</v>
      </c>
      <c r="AT438" s="205">
        <f t="shared" si="550"/>
        <v>-3.6516212276183074E-12</v>
      </c>
      <c r="AU438" s="205">
        <f t="shared" si="551"/>
        <v>9.1946296325164434E-13</v>
      </c>
      <c r="AV438" s="205">
        <f t="shared" si="568"/>
        <v>-4.5710841908699519E-12</v>
      </c>
      <c r="AW438" s="205">
        <f t="shared" si="569"/>
        <v>-2.4976120772464176E-10</v>
      </c>
      <c r="AX438" s="199"/>
    </row>
    <row r="439" spans="1:50">
      <c r="A439" s="73"/>
      <c r="B439" s="570"/>
      <c r="C439" s="200">
        <f>+C438</f>
        <v>36</v>
      </c>
      <c r="D439" s="201">
        <f>+D438+1</f>
        <v>2</v>
      </c>
      <c r="E439" s="202">
        <f t="shared" ca="1" si="571"/>
        <v>57224</v>
      </c>
      <c r="F439" s="203">
        <f>IF(Dashboard!$Q$5="Float",F438+Dashboard!$R$5/12,F438)</f>
        <v>0.04</v>
      </c>
      <c r="G439" s="204">
        <f t="shared" si="552"/>
        <v>422</v>
      </c>
      <c r="H439" s="205">
        <f t="shared" si="553"/>
        <v>0</v>
      </c>
      <c r="I439" s="205">
        <f t="shared" si="538"/>
        <v>0</v>
      </c>
      <c r="J439" s="205">
        <f t="shared" si="539"/>
        <v>0</v>
      </c>
      <c r="K439" s="205">
        <f t="shared" si="554"/>
        <v>0</v>
      </c>
      <c r="L439" s="205">
        <f t="shared" si="555"/>
        <v>0</v>
      </c>
      <c r="M439" s="199"/>
      <c r="N439" s="200">
        <f t="shared" ca="1" si="556"/>
        <v>23</v>
      </c>
      <c r="O439" s="509">
        <f t="shared" ca="1" si="540"/>
        <v>270</v>
      </c>
      <c r="P439" s="200">
        <f t="shared" ca="1" si="541"/>
        <v>23</v>
      </c>
      <c r="Q439" s="201">
        <f>+Q438+1</f>
        <v>2</v>
      </c>
      <c r="R439" s="202">
        <f t="shared" si="573"/>
        <v>52628</v>
      </c>
      <c r="S439" s="203">
        <f t="shared" si="557"/>
        <v>0.04</v>
      </c>
      <c r="T439" s="204">
        <f t="shared" ca="1" si="558"/>
        <v>235</v>
      </c>
      <c r="U439" s="205">
        <f t="shared" ca="1" si="559"/>
        <v>245267.88767120638</v>
      </c>
      <c r="V439" s="205">
        <f t="shared" ca="1" si="542"/>
        <v>-2387.0764773272963</v>
      </c>
      <c r="W439" s="205">
        <f t="shared" ca="1" si="543"/>
        <v>-817.5596255706879</v>
      </c>
      <c r="X439" s="205">
        <f t="shared" ca="1" si="560"/>
        <v>-1569.5168517566085</v>
      </c>
      <c r="Y439" s="205">
        <f t="shared" ca="1" si="561"/>
        <v>243698.37081944977</v>
      </c>
      <c r="Z439" s="199"/>
      <c r="AA439" s="200">
        <f t="shared" ca="1" si="549"/>
        <v>36</v>
      </c>
      <c r="AB439" s="509">
        <f t="shared" ca="1" si="544"/>
        <v>421</v>
      </c>
      <c r="AC439" s="200">
        <f>+AC438</f>
        <v>36</v>
      </c>
      <c r="AD439" s="201">
        <f>+AD438+1</f>
        <v>2</v>
      </c>
      <c r="AE439" s="202">
        <f t="shared" ca="1" si="575"/>
        <v>57224</v>
      </c>
      <c r="AF439" s="203">
        <f>IF(Dashboard!$R$24="Float",AF438+Dashboard!$R$24/12,AF438)</f>
        <v>0.06</v>
      </c>
      <c r="AG439" s="204">
        <f t="shared" si="562"/>
        <v>422</v>
      </c>
      <c r="AH439" s="205">
        <f t="shared" si="563"/>
        <v>0</v>
      </c>
      <c r="AI439" s="205">
        <f t="shared" si="546"/>
        <v>0</v>
      </c>
      <c r="AJ439" s="205">
        <f t="shared" si="547"/>
        <v>0</v>
      </c>
      <c r="AK439" s="205">
        <f t="shared" si="564"/>
        <v>0</v>
      </c>
      <c r="AL439" s="205">
        <f t="shared" si="565"/>
        <v>0</v>
      </c>
      <c r="AM439" s="199"/>
      <c r="AN439" s="200">
        <f>+AN438</f>
        <v>37</v>
      </c>
      <c r="AO439" s="201">
        <f>+AO438+1</f>
        <v>2</v>
      </c>
      <c r="AP439" s="202">
        <f t="shared" ca="1" si="577"/>
        <v>57224</v>
      </c>
      <c r="AQ439" s="203">
        <f>IF(Dashboard!$S$20="Float",AQ438+Dashboard!$T$20/12,AQ438)</f>
        <v>4.4999999999999998E-2</v>
      </c>
      <c r="AR439" s="204">
        <f t="shared" si="566"/>
        <v>422</v>
      </c>
      <c r="AS439" s="205">
        <f t="shared" si="567"/>
        <v>-2.4976120772464176E-10</v>
      </c>
      <c r="AT439" s="205">
        <f t="shared" si="550"/>
        <v>-3.6516212276183074E-12</v>
      </c>
      <c r="AU439" s="205">
        <f t="shared" si="551"/>
        <v>9.3660452896740647E-13</v>
      </c>
      <c r="AV439" s="205">
        <f t="shared" si="568"/>
        <v>-4.5882257565857137E-12</v>
      </c>
      <c r="AW439" s="205">
        <f t="shared" si="569"/>
        <v>-2.5434943348122745E-10</v>
      </c>
      <c r="AX439" s="199"/>
    </row>
    <row r="440" spans="1:50">
      <c r="A440" s="73"/>
      <c r="B440" s="570"/>
      <c r="C440" s="200">
        <f>+C439</f>
        <v>36</v>
      </c>
      <c r="D440" s="201">
        <f>+D439+1</f>
        <v>3</v>
      </c>
      <c r="E440" s="202">
        <f t="shared" ca="1" si="571"/>
        <v>57254</v>
      </c>
      <c r="F440" s="203">
        <f>IF(Dashboard!$Q$5="Float",F439+Dashboard!$R$5/12,F439)</f>
        <v>0.04</v>
      </c>
      <c r="G440" s="204">
        <f t="shared" si="552"/>
        <v>423</v>
      </c>
      <c r="H440" s="205">
        <f t="shared" si="553"/>
        <v>0</v>
      </c>
      <c r="I440" s="205">
        <f t="shared" si="538"/>
        <v>0</v>
      </c>
      <c r="J440" s="205">
        <f t="shared" si="539"/>
        <v>0</v>
      </c>
      <c r="K440" s="205">
        <f t="shared" si="554"/>
        <v>0</v>
      </c>
      <c r="L440" s="205">
        <f t="shared" si="555"/>
        <v>0</v>
      </c>
      <c r="M440" s="199"/>
      <c r="N440" s="200">
        <f t="shared" ca="1" si="556"/>
        <v>23</v>
      </c>
      <c r="O440" s="509">
        <f t="shared" ca="1" si="540"/>
        <v>271</v>
      </c>
      <c r="P440" s="200">
        <f t="shared" ca="1" si="541"/>
        <v>23</v>
      </c>
      <c r="Q440" s="201">
        <f>+Q439+1</f>
        <v>3</v>
      </c>
      <c r="R440" s="202">
        <f t="shared" si="573"/>
        <v>52657</v>
      </c>
      <c r="S440" s="203">
        <f t="shared" si="557"/>
        <v>0.04</v>
      </c>
      <c r="T440" s="204">
        <f t="shared" ca="1" si="558"/>
        <v>236</v>
      </c>
      <c r="U440" s="205">
        <f t="shared" ca="1" si="559"/>
        <v>243698.37081944977</v>
      </c>
      <c r="V440" s="205">
        <f t="shared" ca="1" si="542"/>
        <v>-2387.0764773272963</v>
      </c>
      <c r="W440" s="205">
        <f t="shared" ca="1" si="543"/>
        <v>-812.32790273149931</v>
      </c>
      <c r="X440" s="205">
        <f t="shared" ca="1" si="560"/>
        <v>-1574.748574595797</v>
      </c>
      <c r="Y440" s="205">
        <f t="shared" ca="1" si="561"/>
        <v>242123.62224485396</v>
      </c>
      <c r="Z440" s="199"/>
      <c r="AA440" s="200">
        <f t="shared" ca="1" si="549"/>
        <v>36</v>
      </c>
      <c r="AB440" s="509">
        <f t="shared" ca="1" si="544"/>
        <v>422</v>
      </c>
      <c r="AC440" s="200">
        <f>+AC439</f>
        <v>36</v>
      </c>
      <c r="AD440" s="201">
        <f>+AD439+1</f>
        <v>3</v>
      </c>
      <c r="AE440" s="202">
        <f t="shared" ca="1" si="575"/>
        <v>57254</v>
      </c>
      <c r="AF440" s="203">
        <f>IF(Dashboard!$R$24="Float",AF439+Dashboard!$R$24/12,AF439)</f>
        <v>0.06</v>
      </c>
      <c r="AG440" s="204">
        <f t="shared" si="562"/>
        <v>423</v>
      </c>
      <c r="AH440" s="205">
        <f t="shared" si="563"/>
        <v>0</v>
      </c>
      <c r="AI440" s="205">
        <f t="shared" si="546"/>
        <v>0</v>
      </c>
      <c r="AJ440" s="205">
        <f t="shared" si="547"/>
        <v>0</v>
      </c>
      <c r="AK440" s="205">
        <f t="shared" si="564"/>
        <v>0</v>
      </c>
      <c r="AL440" s="205">
        <f t="shared" si="565"/>
        <v>0</v>
      </c>
      <c r="AM440" s="199"/>
      <c r="AN440" s="200">
        <f>+AN439</f>
        <v>37</v>
      </c>
      <c r="AO440" s="201">
        <f>+AO439+1</f>
        <v>3</v>
      </c>
      <c r="AP440" s="202">
        <f t="shared" ca="1" si="577"/>
        <v>57254</v>
      </c>
      <c r="AQ440" s="203">
        <f>IF(Dashboard!$S$20="Float",AQ439+Dashboard!$T$20/12,AQ439)</f>
        <v>4.4999999999999998E-2</v>
      </c>
      <c r="AR440" s="204">
        <f t="shared" si="566"/>
        <v>423</v>
      </c>
      <c r="AS440" s="205">
        <f t="shared" si="567"/>
        <v>-2.5434943348122745E-10</v>
      </c>
      <c r="AT440" s="205">
        <f t="shared" si="550"/>
        <v>-3.6516212276183074E-12</v>
      </c>
      <c r="AU440" s="205">
        <f t="shared" si="551"/>
        <v>9.5381037555460296E-13</v>
      </c>
      <c r="AV440" s="205">
        <f t="shared" si="568"/>
        <v>-4.6054316031729099E-12</v>
      </c>
      <c r="AW440" s="205">
        <f t="shared" si="569"/>
        <v>-2.5895486508440037E-10</v>
      </c>
      <c r="AX440" s="199"/>
    </row>
    <row r="441" spans="1:50">
      <c r="A441" s="73"/>
      <c r="B441" s="570"/>
      <c r="C441" s="200">
        <f>+C440</f>
        <v>36</v>
      </c>
      <c r="D441" s="201">
        <f t="shared" ref="D441:D449" si="604">+D440+1</f>
        <v>4</v>
      </c>
      <c r="E441" s="202">
        <f t="shared" ca="1" si="571"/>
        <v>57285</v>
      </c>
      <c r="F441" s="203">
        <f>IF(Dashboard!$Q$5="Float",F440+Dashboard!$R$5/12,F440)</f>
        <v>0.04</v>
      </c>
      <c r="G441" s="204">
        <f t="shared" si="552"/>
        <v>424</v>
      </c>
      <c r="H441" s="205">
        <f t="shared" si="553"/>
        <v>0</v>
      </c>
      <c r="I441" s="205">
        <f t="shared" si="538"/>
        <v>0</v>
      </c>
      <c r="J441" s="205">
        <f t="shared" si="539"/>
        <v>0</v>
      </c>
      <c r="K441" s="205">
        <f t="shared" si="554"/>
        <v>0</v>
      </c>
      <c r="L441" s="205">
        <f t="shared" si="555"/>
        <v>0</v>
      </c>
      <c r="M441" s="199"/>
      <c r="N441" s="200">
        <f t="shared" ca="1" si="556"/>
        <v>23</v>
      </c>
      <c r="O441" s="509">
        <f t="shared" ca="1" si="540"/>
        <v>272</v>
      </c>
      <c r="P441" s="200">
        <f t="shared" ca="1" si="541"/>
        <v>23</v>
      </c>
      <c r="Q441" s="201">
        <f t="shared" ref="Q441:Q449" si="605">+Q440+1</f>
        <v>4</v>
      </c>
      <c r="R441" s="202">
        <f t="shared" si="573"/>
        <v>52688</v>
      </c>
      <c r="S441" s="203">
        <f t="shared" si="557"/>
        <v>0.04</v>
      </c>
      <c r="T441" s="204">
        <f t="shared" ca="1" si="558"/>
        <v>237</v>
      </c>
      <c r="U441" s="205">
        <f t="shared" ca="1" si="559"/>
        <v>242123.62224485396</v>
      </c>
      <c r="V441" s="205">
        <f t="shared" ca="1" si="542"/>
        <v>-2387.0764773272963</v>
      </c>
      <c r="W441" s="205">
        <f t="shared" ca="1" si="543"/>
        <v>-807.0787408161799</v>
      </c>
      <c r="X441" s="205">
        <f t="shared" ca="1" si="560"/>
        <v>-1579.9977365111163</v>
      </c>
      <c r="Y441" s="205">
        <f t="shared" ca="1" si="561"/>
        <v>240543.62450834285</v>
      </c>
      <c r="Z441" s="199"/>
      <c r="AA441" s="200">
        <f t="shared" ca="1" si="549"/>
        <v>36</v>
      </c>
      <c r="AB441" s="509">
        <f t="shared" ca="1" si="544"/>
        <v>423</v>
      </c>
      <c r="AC441" s="200">
        <f>+AC440</f>
        <v>36</v>
      </c>
      <c r="AD441" s="201">
        <f t="shared" ref="AD441:AD449" si="606">+AD440+1</f>
        <v>4</v>
      </c>
      <c r="AE441" s="202">
        <f t="shared" ca="1" si="575"/>
        <v>57285</v>
      </c>
      <c r="AF441" s="203">
        <f>IF(Dashboard!$R$24="Float",AF440+Dashboard!$R$24/12,AF440)</f>
        <v>0.06</v>
      </c>
      <c r="AG441" s="204">
        <f t="shared" si="562"/>
        <v>424</v>
      </c>
      <c r="AH441" s="205">
        <f t="shared" si="563"/>
        <v>0</v>
      </c>
      <c r="AI441" s="205">
        <f t="shared" si="546"/>
        <v>0</v>
      </c>
      <c r="AJ441" s="205">
        <f t="shared" si="547"/>
        <v>0</v>
      </c>
      <c r="AK441" s="205">
        <f t="shared" si="564"/>
        <v>0</v>
      </c>
      <c r="AL441" s="205">
        <f t="shared" si="565"/>
        <v>0</v>
      </c>
      <c r="AM441" s="199"/>
      <c r="AN441" s="200">
        <f>+AN440</f>
        <v>37</v>
      </c>
      <c r="AO441" s="201">
        <f t="shared" ref="AO441:AO449" si="607">+AO440+1</f>
        <v>4</v>
      </c>
      <c r="AP441" s="202">
        <f t="shared" ca="1" si="577"/>
        <v>57285</v>
      </c>
      <c r="AQ441" s="203">
        <f>IF(Dashboard!$S$20="Float",AQ440+Dashboard!$T$20/12,AQ440)</f>
        <v>4.4999999999999998E-2</v>
      </c>
      <c r="AR441" s="204">
        <f t="shared" si="566"/>
        <v>424</v>
      </c>
      <c r="AS441" s="205">
        <f t="shared" si="567"/>
        <v>-2.5895486508440037E-10</v>
      </c>
      <c r="AT441" s="205">
        <f t="shared" si="550"/>
        <v>-3.6516212276183074E-12</v>
      </c>
      <c r="AU441" s="205">
        <f t="shared" si="551"/>
        <v>9.7108074406650136E-13</v>
      </c>
      <c r="AV441" s="205">
        <f t="shared" si="568"/>
        <v>-4.6227019716848088E-12</v>
      </c>
      <c r="AW441" s="205">
        <f t="shared" si="569"/>
        <v>-2.635775670560852E-10</v>
      </c>
      <c r="AX441" s="199"/>
    </row>
    <row r="442" spans="1:50">
      <c r="A442" s="73"/>
      <c r="B442" s="570"/>
      <c r="C442" s="200">
        <f t="shared" ref="C442:C449" si="608">+C441</f>
        <v>36</v>
      </c>
      <c r="D442" s="201">
        <f t="shared" si="604"/>
        <v>5</v>
      </c>
      <c r="E442" s="202">
        <f t="shared" ca="1" si="571"/>
        <v>57315</v>
      </c>
      <c r="F442" s="203">
        <f>IF(Dashboard!$Q$5="Float",F441+Dashboard!$R$5/12,F441)</f>
        <v>0.04</v>
      </c>
      <c r="G442" s="204">
        <f t="shared" si="552"/>
        <v>425</v>
      </c>
      <c r="H442" s="205">
        <f t="shared" si="553"/>
        <v>0</v>
      </c>
      <c r="I442" s="205">
        <f t="shared" si="538"/>
        <v>0</v>
      </c>
      <c r="J442" s="205">
        <f t="shared" si="539"/>
        <v>0</v>
      </c>
      <c r="K442" s="205">
        <f t="shared" si="554"/>
        <v>0</v>
      </c>
      <c r="L442" s="205">
        <f t="shared" si="555"/>
        <v>0</v>
      </c>
      <c r="M442" s="199"/>
      <c r="N442" s="200">
        <f t="shared" ca="1" si="556"/>
        <v>23</v>
      </c>
      <c r="O442" s="509">
        <f t="shared" ca="1" si="540"/>
        <v>273</v>
      </c>
      <c r="P442" s="200">
        <f t="shared" ca="1" si="541"/>
        <v>23</v>
      </c>
      <c r="Q442" s="201">
        <f t="shared" si="605"/>
        <v>5</v>
      </c>
      <c r="R442" s="202">
        <f t="shared" si="573"/>
        <v>52718</v>
      </c>
      <c r="S442" s="203">
        <f t="shared" si="557"/>
        <v>0.04</v>
      </c>
      <c r="T442" s="204">
        <f t="shared" ca="1" si="558"/>
        <v>238</v>
      </c>
      <c r="U442" s="205">
        <f t="shared" ca="1" si="559"/>
        <v>240543.62450834285</v>
      </c>
      <c r="V442" s="205">
        <f t="shared" ca="1" si="542"/>
        <v>-2387.0764773272963</v>
      </c>
      <c r="W442" s="205">
        <f t="shared" ca="1" si="543"/>
        <v>-801.81208169447621</v>
      </c>
      <c r="X442" s="205">
        <f t="shared" ca="1" si="560"/>
        <v>-1585.2643956328202</v>
      </c>
      <c r="Y442" s="205">
        <f t="shared" ca="1" si="561"/>
        <v>238958.36011271004</v>
      </c>
      <c r="Z442" s="199"/>
      <c r="AA442" s="200">
        <f t="shared" ca="1" si="549"/>
        <v>36</v>
      </c>
      <c r="AB442" s="509">
        <f t="shared" ca="1" si="544"/>
        <v>424</v>
      </c>
      <c r="AC442" s="200">
        <f t="shared" ref="AC442:AC449" si="609">+AC441</f>
        <v>36</v>
      </c>
      <c r="AD442" s="201">
        <f t="shared" si="606"/>
        <v>5</v>
      </c>
      <c r="AE442" s="202">
        <f t="shared" ca="1" si="575"/>
        <v>57315</v>
      </c>
      <c r="AF442" s="203">
        <f>IF(Dashboard!$R$24="Float",AF441+Dashboard!$R$24/12,AF441)</f>
        <v>0.06</v>
      </c>
      <c r="AG442" s="204">
        <f t="shared" si="562"/>
        <v>425</v>
      </c>
      <c r="AH442" s="205">
        <f t="shared" si="563"/>
        <v>0</v>
      </c>
      <c r="AI442" s="205">
        <f t="shared" si="546"/>
        <v>0</v>
      </c>
      <c r="AJ442" s="205">
        <f t="shared" si="547"/>
        <v>0</v>
      </c>
      <c r="AK442" s="205">
        <f t="shared" si="564"/>
        <v>0</v>
      </c>
      <c r="AL442" s="205">
        <f t="shared" si="565"/>
        <v>0</v>
      </c>
      <c r="AM442" s="199"/>
      <c r="AN442" s="200">
        <f t="shared" ref="AN442:AN449" si="610">+AN441</f>
        <v>37</v>
      </c>
      <c r="AO442" s="201">
        <f t="shared" si="607"/>
        <v>5</v>
      </c>
      <c r="AP442" s="202">
        <f t="shared" ca="1" si="577"/>
        <v>57315</v>
      </c>
      <c r="AQ442" s="203">
        <f>IF(Dashboard!$S$20="Float",AQ441+Dashboard!$T$20/12,AQ441)</f>
        <v>4.4999999999999998E-2</v>
      </c>
      <c r="AR442" s="204">
        <f t="shared" si="566"/>
        <v>425</v>
      </c>
      <c r="AS442" s="205">
        <f t="shared" si="567"/>
        <v>-2.635775670560852E-10</v>
      </c>
      <c r="AT442" s="205">
        <f t="shared" si="550"/>
        <v>-3.6516212276183082E-12</v>
      </c>
      <c r="AU442" s="205">
        <f t="shared" si="551"/>
        <v>9.884158764603195E-13</v>
      </c>
      <c r="AV442" s="205">
        <f t="shared" si="568"/>
        <v>-4.6400371040786273E-12</v>
      </c>
      <c r="AW442" s="205">
        <f t="shared" si="569"/>
        <v>-2.6821760416016385E-10</v>
      </c>
      <c r="AX442" s="199"/>
    </row>
    <row r="443" spans="1:50">
      <c r="A443" s="73"/>
      <c r="B443" s="570"/>
      <c r="C443" s="200">
        <f t="shared" si="608"/>
        <v>36</v>
      </c>
      <c r="D443" s="201">
        <f t="shared" si="604"/>
        <v>6</v>
      </c>
      <c r="E443" s="202">
        <f t="shared" ca="1" si="571"/>
        <v>57346</v>
      </c>
      <c r="F443" s="203">
        <f>IF(Dashboard!$Q$5="Float",F442+Dashboard!$R$5/12,F442)</f>
        <v>0.04</v>
      </c>
      <c r="G443" s="204">
        <f t="shared" si="552"/>
        <v>426</v>
      </c>
      <c r="H443" s="205">
        <f t="shared" si="553"/>
        <v>0</v>
      </c>
      <c r="I443" s="205">
        <f t="shared" si="538"/>
        <v>0</v>
      </c>
      <c r="J443" s="205">
        <f t="shared" si="539"/>
        <v>0</v>
      </c>
      <c r="K443" s="205">
        <f t="shared" si="554"/>
        <v>0</v>
      </c>
      <c r="L443" s="205">
        <f t="shared" si="555"/>
        <v>0</v>
      </c>
      <c r="M443" s="199"/>
      <c r="N443" s="200">
        <f t="shared" ca="1" si="556"/>
        <v>23</v>
      </c>
      <c r="O443" s="509">
        <f t="shared" ca="1" si="540"/>
        <v>274</v>
      </c>
      <c r="P443" s="200">
        <f t="shared" ca="1" si="541"/>
        <v>23</v>
      </c>
      <c r="Q443" s="201">
        <f t="shared" si="605"/>
        <v>6</v>
      </c>
      <c r="R443" s="202">
        <f t="shared" si="573"/>
        <v>52749</v>
      </c>
      <c r="S443" s="203">
        <f t="shared" si="557"/>
        <v>0.04</v>
      </c>
      <c r="T443" s="204">
        <f t="shared" ca="1" si="558"/>
        <v>239</v>
      </c>
      <c r="U443" s="205">
        <f t="shared" ca="1" si="559"/>
        <v>238958.36011271004</v>
      </c>
      <c r="V443" s="205">
        <f t="shared" ca="1" si="542"/>
        <v>-2387.0764773272963</v>
      </c>
      <c r="W443" s="205">
        <f t="shared" ca="1" si="543"/>
        <v>-796.52786704236678</v>
      </c>
      <c r="X443" s="205">
        <f t="shared" ca="1" si="560"/>
        <v>-1590.5486102849295</v>
      </c>
      <c r="Y443" s="205">
        <f t="shared" ca="1" si="561"/>
        <v>237367.81150242512</v>
      </c>
      <c r="Z443" s="199"/>
      <c r="AA443" s="200">
        <f t="shared" ca="1" si="549"/>
        <v>36</v>
      </c>
      <c r="AB443" s="509">
        <f t="shared" ca="1" si="544"/>
        <v>425</v>
      </c>
      <c r="AC443" s="200">
        <f t="shared" si="609"/>
        <v>36</v>
      </c>
      <c r="AD443" s="201">
        <f t="shared" si="606"/>
        <v>6</v>
      </c>
      <c r="AE443" s="202">
        <f t="shared" ca="1" si="575"/>
        <v>57346</v>
      </c>
      <c r="AF443" s="203">
        <f>IF(Dashboard!$R$24="Float",AF442+Dashboard!$R$24/12,AF442)</f>
        <v>0.06</v>
      </c>
      <c r="AG443" s="204">
        <f t="shared" si="562"/>
        <v>426</v>
      </c>
      <c r="AH443" s="205">
        <f t="shared" si="563"/>
        <v>0</v>
      </c>
      <c r="AI443" s="205">
        <f t="shared" si="546"/>
        <v>0</v>
      </c>
      <c r="AJ443" s="205">
        <f t="shared" si="547"/>
        <v>0</v>
      </c>
      <c r="AK443" s="205">
        <f t="shared" si="564"/>
        <v>0</v>
      </c>
      <c r="AL443" s="205">
        <f t="shared" si="565"/>
        <v>0</v>
      </c>
      <c r="AM443" s="199"/>
      <c r="AN443" s="200">
        <f t="shared" si="610"/>
        <v>37</v>
      </c>
      <c r="AO443" s="201">
        <f t="shared" si="607"/>
        <v>6</v>
      </c>
      <c r="AP443" s="202">
        <f t="shared" ca="1" si="577"/>
        <v>57346</v>
      </c>
      <c r="AQ443" s="203">
        <f>IF(Dashboard!$S$20="Float",AQ442+Dashboard!$T$20/12,AQ442)</f>
        <v>4.4999999999999998E-2</v>
      </c>
      <c r="AR443" s="204">
        <f t="shared" si="566"/>
        <v>426</v>
      </c>
      <c r="AS443" s="205">
        <f t="shared" si="567"/>
        <v>-2.6821760416016385E-10</v>
      </c>
      <c r="AT443" s="205">
        <f t="shared" si="550"/>
        <v>-3.6516212276183082E-12</v>
      </c>
      <c r="AU443" s="205">
        <f t="shared" si="551"/>
        <v>1.0058160156006144E-12</v>
      </c>
      <c r="AV443" s="205">
        <f t="shared" si="568"/>
        <v>-4.6574372432189224E-12</v>
      </c>
      <c r="AW443" s="205">
        <f t="shared" si="569"/>
        <v>-2.7287504140338276E-10</v>
      </c>
      <c r="AX443" s="199"/>
    </row>
    <row r="444" spans="1:50">
      <c r="A444" s="73"/>
      <c r="B444" s="570"/>
      <c r="C444" s="200">
        <f t="shared" si="608"/>
        <v>36</v>
      </c>
      <c r="D444" s="201">
        <f t="shared" si="604"/>
        <v>7</v>
      </c>
      <c r="E444" s="202">
        <f t="shared" ca="1" si="571"/>
        <v>57377</v>
      </c>
      <c r="F444" s="203">
        <f>IF(Dashboard!$Q$5="Float",F443+Dashboard!$R$5/12,F443)</f>
        <v>0.04</v>
      </c>
      <c r="G444" s="204">
        <f t="shared" si="552"/>
        <v>427</v>
      </c>
      <c r="H444" s="205">
        <f t="shared" si="553"/>
        <v>0</v>
      </c>
      <c r="I444" s="205">
        <f t="shared" si="538"/>
        <v>0</v>
      </c>
      <c r="J444" s="205">
        <f t="shared" si="539"/>
        <v>0</v>
      </c>
      <c r="K444" s="205">
        <f t="shared" si="554"/>
        <v>0</v>
      </c>
      <c r="L444" s="205">
        <f t="shared" si="555"/>
        <v>0</v>
      </c>
      <c r="M444" s="199"/>
      <c r="N444" s="200">
        <f t="shared" ca="1" si="556"/>
        <v>23</v>
      </c>
      <c r="O444" s="509">
        <f t="shared" ca="1" si="540"/>
        <v>275</v>
      </c>
      <c r="P444" s="200">
        <f t="shared" ca="1" si="541"/>
        <v>23</v>
      </c>
      <c r="Q444" s="201">
        <f t="shared" si="605"/>
        <v>7</v>
      </c>
      <c r="R444" s="202">
        <f t="shared" si="573"/>
        <v>52779</v>
      </c>
      <c r="S444" s="203">
        <f t="shared" si="557"/>
        <v>0.04</v>
      </c>
      <c r="T444" s="204">
        <f t="shared" ca="1" si="558"/>
        <v>240</v>
      </c>
      <c r="U444" s="205">
        <f t="shared" ca="1" si="559"/>
        <v>237367.81150242512</v>
      </c>
      <c r="V444" s="205">
        <f t="shared" ca="1" si="542"/>
        <v>-2387.0764773272963</v>
      </c>
      <c r="W444" s="205">
        <f t="shared" ca="1" si="543"/>
        <v>-791.22603834141717</v>
      </c>
      <c r="X444" s="205">
        <f t="shared" ca="1" si="560"/>
        <v>-1595.850438985879</v>
      </c>
      <c r="Y444" s="205">
        <f t="shared" ca="1" si="561"/>
        <v>235771.96106343923</v>
      </c>
      <c r="Z444" s="199"/>
      <c r="AA444" s="200">
        <f t="shared" ca="1" si="549"/>
        <v>36</v>
      </c>
      <c r="AB444" s="509">
        <f t="shared" ca="1" si="544"/>
        <v>426</v>
      </c>
      <c r="AC444" s="200">
        <f t="shared" si="609"/>
        <v>36</v>
      </c>
      <c r="AD444" s="201">
        <f t="shared" si="606"/>
        <v>7</v>
      </c>
      <c r="AE444" s="202">
        <f t="shared" ca="1" si="575"/>
        <v>57377</v>
      </c>
      <c r="AF444" s="203">
        <f>IF(Dashboard!$R$24="Float",AF443+Dashboard!$R$24/12,AF443)</f>
        <v>0.06</v>
      </c>
      <c r="AG444" s="204">
        <f t="shared" si="562"/>
        <v>427</v>
      </c>
      <c r="AH444" s="205">
        <f t="shared" si="563"/>
        <v>0</v>
      </c>
      <c r="AI444" s="205">
        <f t="shared" si="546"/>
        <v>0</v>
      </c>
      <c r="AJ444" s="205">
        <f t="shared" si="547"/>
        <v>0</v>
      </c>
      <c r="AK444" s="205">
        <f t="shared" si="564"/>
        <v>0</v>
      </c>
      <c r="AL444" s="205">
        <f t="shared" si="565"/>
        <v>0</v>
      </c>
      <c r="AM444" s="199"/>
      <c r="AN444" s="200">
        <f t="shared" si="610"/>
        <v>37</v>
      </c>
      <c r="AO444" s="201">
        <f t="shared" si="607"/>
        <v>7</v>
      </c>
      <c r="AP444" s="202">
        <f t="shared" ca="1" si="577"/>
        <v>57377</v>
      </c>
      <c r="AQ444" s="203">
        <f>IF(Dashboard!$S$20="Float",AQ443+Dashboard!$T$20/12,AQ443)</f>
        <v>4.4999999999999998E-2</v>
      </c>
      <c r="AR444" s="204">
        <f t="shared" si="566"/>
        <v>427</v>
      </c>
      <c r="AS444" s="205">
        <f t="shared" si="567"/>
        <v>-2.7287504140338276E-10</v>
      </c>
      <c r="AT444" s="205">
        <f t="shared" si="550"/>
        <v>-3.6516212276183082E-12</v>
      </c>
      <c r="AU444" s="205">
        <f t="shared" si="551"/>
        <v>1.0232814052626853E-12</v>
      </c>
      <c r="AV444" s="205">
        <f t="shared" si="568"/>
        <v>-4.6749026328809937E-12</v>
      </c>
      <c r="AW444" s="205">
        <f t="shared" si="569"/>
        <v>-2.7754994403626376E-10</v>
      </c>
      <c r="AX444" s="199"/>
    </row>
    <row r="445" spans="1:50">
      <c r="A445" s="73"/>
      <c r="B445" s="570"/>
      <c r="C445" s="200">
        <f t="shared" si="608"/>
        <v>36</v>
      </c>
      <c r="D445" s="201">
        <f t="shared" si="604"/>
        <v>8</v>
      </c>
      <c r="E445" s="202">
        <f t="shared" ca="1" si="571"/>
        <v>57405</v>
      </c>
      <c r="F445" s="203">
        <f>IF(Dashboard!$Q$5="Float",F444+Dashboard!$R$5/12,F444)</f>
        <v>0.04</v>
      </c>
      <c r="G445" s="204">
        <f t="shared" si="552"/>
        <v>428</v>
      </c>
      <c r="H445" s="205">
        <f t="shared" si="553"/>
        <v>0</v>
      </c>
      <c r="I445" s="205">
        <f t="shared" si="538"/>
        <v>0</v>
      </c>
      <c r="J445" s="205">
        <f t="shared" si="539"/>
        <v>0</v>
      </c>
      <c r="K445" s="205">
        <f t="shared" si="554"/>
        <v>0</v>
      </c>
      <c r="L445" s="205">
        <f t="shared" si="555"/>
        <v>0</v>
      </c>
      <c r="M445" s="199"/>
      <c r="N445" s="200">
        <f t="shared" ca="1" si="556"/>
        <v>23</v>
      </c>
      <c r="O445" s="509">
        <f t="shared" ca="1" si="540"/>
        <v>276</v>
      </c>
      <c r="P445" s="200">
        <f t="shared" ca="1" si="541"/>
        <v>24</v>
      </c>
      <c r="Q445" s="201">
        <f t="shared" si="605"/>
        <v>8</v>
      </c>
      <c r="R445" s="202">
        <f t="shared" si="573"/>
        <v>52810</v>
      </c>
      <c r="S445" s="203">
        <f t="shared" si="557"/>
        <v>0.04</v>
      </c>
      <c r="T445" s="204">
        <f t="shared" ca="1" si="558"/>
        <v>241</v>
      </c>
      <c r="U445" s="205">
        <f t="shared" ca="1" si="559"/>
        <v>235771.96106343923</v>
      </c>
      <c r="V445" s="205">
        <f t="shared" ca="1" si="542"/>
        <v>-2387.0764773272963</v>
      </c>
      <c r="W445" s="205">
        <f t="shared" ca="1" si="543"/>
        <v>-785.90653687813074</v>
      </c>
      <c r="X445" s="205">
        <f t="shared" ca="1" si="560"/>
        <v>-1601.1699404491656</v>
      </c>
      <c r="Y445" s="205">
        <f t="shared" ca="1" si="561"/>
        <v>234170.79112299008</v>
      </c>
      <c r="Z445" s="199"/>
      <c r="AA445" s="200">
        <f t="shared" ca="1" si="549"/>
        <v>36</v>
      </c>
      <c r="AB445" s="509">
        <f t="shared" ca="1" si="544"/>
        <v>427</v>
      </c>
      <c r="AC445" s="200">
        <f t="shared" si="609"/>
        <v>36</v>
      </c>
      <c r="AD445" s="201">
        <f t="shared" si="606"/>
        <v>8</v>
      </c>
      <c r="AE445" s="202">
        <f t="shared" ca="1" si="575"/>
        <v>57405</v>
      </c>
      <c r="AF445" s="203">
        <f>IF(Dashboard!$R$24="Float",AF444+Dashboard!$R$24/12,AF444)</f>
        <v>0.06</v>
      </c>
      <c r="AG445" s="204">
        <f t="shared" si="562"/>
        <v>428</v>
      </c>
      <c r="AH445" s="205">
        <f t="shared" si="563"/>
        <v>0</v>
      </c>
      <c r="AI445" s="205">
        <f t="shared" si="546"/>
        <v>0</v>
      </c>
      <c r="AJ445" s="205">
        <f t="shared" si="547"/>
        <v>0</v>
      </c>
      <c r="AK445" s="205">
        <f t="shared" si="564"/>
        <v>0</v>
      </c>
      <c r="AL445" s="205">
        <f t="shared" si="565"/>
        <v>0</v>
      </c>
      <c r="AM445" s="199"/>
      <c r="AN445" s="200">
        <f t="shared" si="610"/>
        <v>37</v>
      </c>
      <c r="AO445" s="201">
        <f t="shared" si="607"/>
        <v>8</v>
      </c>
      <c r="AP445" s="202">
        <f t="shared" ca="1" si="577"/>
        <v>57405</v>
      </c>
      <c r="AQ445" s="203">
        <f>IF(Dashboard!$S$20="Float",AQ444+Dashboard!$T$20/12,AQ444)</f>
        <v>4.4999999999999998E-2</v>
      </c>
      <c r="AR445" s="204">
        <f t="shared" si="566"/>
        <v>428</v>
      </c>
      <c r="AS445" s="205">
        <f t="shared" si="567"/>
        <v>-2.7754994403626376E-10</v>
      </c>
      <c r="AT445" s="205">
        <f t="shared" si="550"/>
        <v>-3.6516212276183074E-12</v>
      </c>
      <c r="AU445" s="205">
        <f t="shared" si="551"/>
        <v>1.0408122901359889E-12</v>
      </c>
      <c r="AV445" s="205">
        <f t="shared" si="568"/>
        <v>-4.6924335177542965E-12</v>
      </c>
      <c r="AW445" s="205">
        <f t="shared" si="569"/>
        <v>-2.8224237755401804E-10</v>
      </c>
      <c r="AX445" s="199"/>
    </row>
    <row r="446" spans="1:50">
      <c r="A446" s="73"/>
      <c r="B446" s="570"/>
      <c r="C446" s="200">
        <f t="shared" si="608"/>
        <v>36</v>
      </c>
      <c r="D446" s="201">
        <f t="shared" si="604"/>
        <v>9</v>
      </c>
      <c r="E446" s="202">
        <f t="shared" ca="1" si="571"/>
        <v>57436</v>
      </c>
      <c r="F446" s="203">
        <f>IF(Dashboard!$Q$5="Float",F445+Dashboard!$R$5/12,F445)</f>
        <v>0.04</v>
      </c>
      <c r="G446" s="204">
        <f t="shared" si="552"/>
        <v>429</v>
      </c>
      <c r="H446" s="205">
        <f t="shared" si="553"/>
        <v>0</v>
      </c>
      <c r="I446" s="205">
        <f t="shared" si="538"/>
        <v>0</v>
      </c>
      <c r="J446" s="205">
        <f t="shared" si="539"/>
        <v>0</v>
      </c>
      <c r="K446" s="205">
        <f t="shared" si="554"/>
        <v>0</v>
      </c>
      <c r="L446" s="205">
        <f t="shared" si="555"/>
        <v>0</v>
      </c>
      <c r="M446" s="199"/>
      <c r="N446" s="200">
        <f t="shared" ca="1" si="556"/>
        <v>24</v>
      </c>
      <c r="O446" s="509">
        <f t="shared" ca="1" si="540"/>
        <v>277</v>
      </c>
      <c r="P446" s="200">
        <f t="shared" ca="1" si="541"/>
        <v>24</v>
      </c>
      <c r="Q446" s="201">
        <f t="shared" si="605"/>
        <v>9</v>
      </c>
      <c r="R446" s="202">
        <f t="shared" si="573"/>
        <v>52841</v>
      </c>
      <c r="S446" s="203">
        <f t="shared" si="557"/>
        <v>0.04</v>
      </c>
      <c r="T446" s="204">
        <f t="shared" ca="1" si="558"/>
        <v>242</v>
      </c>
      <c r="U446" s="205">
        <f t="shared" ca="1" si="559"/>
        <v>234170.79112299008</v>
      </c>
      <c r="V446" s="205">
        <f t="shared" ca="1" si="542"/>
        <v>-2387.0764773272963</v>
      </c>
      <c r="W446" s="205">
        <f t="shared" ca="1" si="543"/>
        <v>-780.56930374330022</v>
      </c>
      <c r="X446" s="205">
        <f t="shared" ca="1" si="560"/>
        <v>-1606.5071735839961</v>
      </c>
      <c r="Y446" s="205">
        <f t="shared" ca="1" si="561"/>
        <v>232564.28394940609</v>
      </c>
      <c r="Z446" s="199"/>
      <c r="AA446" s="200">
        <f t="shared" ca="1" si="549"/>
        <v>36</v>
      </c>
      <c r="AB446" s="509">
        <f t="shared" ca="1" si="544"/>
        <v>428</v>
      </c>
      <c r="AC446" s="200">
        <f t="shared" si="609"/>
        <v>36</v>
      </c>
      <c r="AD446" s="201">
        <f t="shared" si="606"/>
        <v>9</v>
      </c>
      <c r="AE446" s="202">
        <f t="shared" ca="1" si="575"/>
        <v>57436</v>
      </c>
      <c r="AF446" s="203">
        <f>IF(Dashboard!$R$24="Float",AF445+Dashboard!$R$24/12,AF445)</f>
        <v>0.06</v>
      </c>
      <c r="AG446" s="204">
        <f t="shared" si="562"/>
        <v>429</v>
      </c>
      <c r="AH446" s="205">
        <f t="shared" si="563"/>
        <v>0</v>
      </c>
      <c r="AI446" s="205">
        <f t="shared" si="546"/>
        <v>0</v>
      </c>
      <c r="AJ446" s="205">
        <f t="shared" si="547"/>
        <v>0</v>
      </c>
      <c r="AK446" s="205">
        <f t="shared" si="564"/>
        <v>0</v>
      </c>
      <c r="AL446" s="205">
        <f t="shared" si="565"/>
        <v>0</v>
      </c>
      <c r="AM446" s="199"/>
      <c r="AN446" s="200">
        <f t="shared" si="610"/>
        <v>37</v>
      </c>
      <c r="AO446" s="201">
        <f t="shared" si="607"/>
        <v>9</v>
      </c>
      <c r="AP446" s="202">
        <f t="shared" ca="1" si="577"/>
        <v>57436</v>
      </c>
      <c r="AQ446" s="203">
        <f>IF(Dashboard!$S$20="Float",AQ445+Dashboard!$T$20/12,AQ445)</f>
        <v>4.4999999999999998E-2</v>
      </c>
      <c r="AR446" s="204">
        <f t="shared" si="566"/>
        <v>429</v>
      </c>
      <c r="AS446" s="205">
        <f t="shared" si="567"/>
        <v>-2.8224237755401804E-10</v>
      </c>
      <c r="AT446" s="205">
        <f t="shared" si="550"/>
        <v>-3.6516212276183074E-12</v>
      </c>
      <c r="AU446" s="205">
        <f t="shared" si="551"/>
        <v>1.0584089158275676E-12</v>
      </c>
      <c r="AV446" s="205">
        <f t="shared" si="568"/>
        <v>-4.7100301434458752E-12</v>
      </c>
      <c r="AW446" s="205">
        <f t="shared" si="569"/>
        <v>-2.8695240769746393E-10</v>
      </c>
      <c r="AX446" s="199"/>
    </row>
    <row r="447" spans="1:50">
      <c r="A447" s="73"/>
      <c r="B447" s="570"/>
      <c r="C447" s="200">
        <f t="shared" si="608"/>
        <v>36</v>
      </c>
      <c r="D447" s="201">
        <f t="shared" si="604"/>
        <v>10</v>
      </c>
      <c r="E447" s="202">
        <f t="shared" ca="1" si="571"/>
        <v>57466</v>
      </c>
      <c r="F447" s="203">
        <f>IF(Dashboard!$Q$5="Float",F446+Dashboard!$R$5/12,F446)</f>
        <v>0.04</v>
      </c>
      <c r="G447" s="204">
        <f t="shared" si="552"/>
        <v>430</v>
      </c>
      <c r="H447" s="205">
        <f t="shared" si="553"/>
        <v>0</v>
      </c>
      <c r="I447" s="205">
        <f t="shared" si="538"/>
        <v>0</v>
      </c>
      <c r="J447" s="205">
        <f t="shared" si="539"/>
        <v>0</v>
      </c>
      <c r="K447" s="205">
        <f t="shared" si="554"/>
        <v>0</v>
      </c>
      <c r="L447" s="205">
        <f t="shared" si="555"/>
        <v>0</v>
      </c>
      <c r="M447" s="199"/>
      <c r="N447" s="200">
        <f t="shared" ca="1" si="556"/>
        <v>24</v>
      </c>
      <c r="O447" s="509">
        <f t="shared" ca="1" si="540"/>
        <v>278</v>
      </c>
      <c r="P447" s="200">
        <f t="shared" ca="1" si="541"/>
        <v>24</v>
      </c>
      <c r="Q447" s="201">
        <f t="shared" si="605"/>
        <v>10</v>
      </c>
      <c r="R447" s="202">
        <f t="shared" si="573"/>
        <v>52871</v>
      </c>
      <c r="S447" s="203">
        <f t="shared" si="557"/>
        <v>0.04</v>
      </c>
      <c r="T447" s="204">
        <f t="shared" ca="1" si="558"/>
        <v>243</v>
      </c>
      <c r="U447" s="205">
        <f t="shared" ca="1" si="559"/>
        <v>232564.28394940609</v>
      </c>
      <c r="V447" s="205">
        <f t="shared" ca="1" si="542"/>
        <v>-2387.0764773272963</v>
      </c>
      <c r="W447" s="205">
        <f t="shared" ca="1" si="543"/>
        <v>-775.21427983135356</v>
      </c>
      <c r="X447" s="205">
        <f t="shared" ca="1" si="560"/>
        <v>-1611.8621974959428</v>
      </c>
      <c r="Y447" s="205">
        <f t="shared" ca="1" si="561"/>
        <v>230952.42175191015</v>
      </c>
      <c r="Z447" s="199"/>
      <c r="AA447" s="200">
        <f t="shared" ca="1" si="549"/>
        <v>36</v>
      </c>
      <c r="AB447" s="509">
        <f t="shared" ca="1" si="544"/>
        <v>429</v>
      </c>
      <c r="AC447" s="200">
        <f t="shared" si="609"/>
        <v>36</v>
      </c>
      <c r="AD447" s="201">
        <f t="shared" si="606"/>
        <v>10</v>
      </c>
      <c r="AE447" s="202">
        <f t="shared" ca="1" si="575"/>
        <v>57466</v>
      </c>
      <c r="AF447" s="203">
        <f>IF(Dashboard!$R$24="Float",AF446+Dashboard!$R$24/12,AF446)</f>
        <v>0.06</v>
      </c>
      <c r="AG447" s="204">
        <f t="shared" si="562"/>
        <v>430</v>
      </c>
      <c r="AH447" s="205">
        <f t="shared" si="563"/>
        <v>0</v>
      </c>
      <c r="AI447" s="205">
        <f t="shared" si="546"/>
        <v>0</v>
      </c>
      <c r="AJ447" s="205">
        <f t="shared" si="547"/>
        <v>0</v>
      </c>
      <c r="AK447" s="205">
        <f t="shared" si="564"/>
        <v>0</v>
      </c>
      <c r="AL447" s="205">
        <f t="shared" si="565"/>
        <v>0</v>
      </c>
      <c r="AM447" s="199"/>
      <c r="AN447" s="200">
        <f t="shared" si="610"/>
        <v>37</v>
      </c>
      <c r="AO447" s="201">
        <f t="shared" si="607"/>
        <v>10</v>
      </c>
      <c r="AP447" s="202">
        <f t="shared" ca="1" si="577"/>
        <v>57466</v>
      </c>
      <c r="AQ447" s="203">
        <f>IF(Dashboard!$S$20="Float",AQ446+Dashboard!$T$20/12,AQ446)</f>
        <v>4.4999999999999998E-2</v>
      </c>
      <c r="AR447" s="204">
        <f t="shared" si="566"/>
        <v>430</v>
      </c>
      <c r="AS447" s="205">
        <f t="shared" si="567"/>
        <v>-2.8695240769746393E-10</v>
      </c>
      <c r="AT447" s="205">
        <f t="shared" si="550"/>
        <v>-3.6516212276183082E-12</v>
      </c>
      <c r="AU447" s="205">
        <f t="shared" si="551"/>
        <v>1.0760715288654897E-12</v>
      </c>
      <c r="AV447" s="205">
        <f t="shared" si="568"/>
        <v>-4.7276927564837975E-12</v>
      </c>
      <c r="AW447" s="205">
        <f t="shared" si="569"/>
        <v>-2.9168010045394773E-10</v>
      </c>
      <c r="AX447" s="199"/>
    </row>
    <row r="448" spans="1:50">
      <c r="A448" s="73"/>
      <c r="B448" s="570"/>
      <c r="C448" s="200">
        <f t="shared" si="608"/>
        <v>36</v>
      </c>
      <c r="D448" s="201">
        <f t="shared" si="604"/>
        <v>11</v>
      </c>
      <c r="E448" s="202">
        <f t="shared" ca="1" si="571"/>
        <v>57497</v>
      </c>
      <c r="F448" s="203">
        <f>IF(Dashboard!$Q$5="Float",F447+Dashboard!$R$5/12,F447)</f>
        <v>0.04</v>
      </c>
      <c r="G448" s="204">
        <f t="shared" si="552"/>
        <v>431</v>
      </c>
      <c r="H448" s="205">
        <f t="shared" si="553"/>
        <v>0</v>
      </c>
      <c r="I448" s="205">
        <f t="shared" si="538"/>
        <v>0</v>
      </c>
      <c r="J448" s="205">
        <f t="shared" si="539"/>
        <v>0</v>
      </c>
      <c r="K448" s="205">
        <f t="shared" si="554"/>
        <v>0</v>
      </c>
      <c r="L448" s="205">
        <f t="shared" si="555"/>
        <v>0</v>
      </c>
      <c r="M448" s="199"/>
      <c r="N448" s="200">
        <f t="shared" ca="1" si="556"/>
        <v>24</v>
      </c>
      <c r="O448" s="509">
        <f t="shared" ca="1" si="540"/>
        <v>279</v>
      </c>
      <c r="P448" s="200">
        <f t="shared" ca="1" si="541"/>
        <v>24</v>
      </c>
      <c r="Q448" s="201">
        <f t="shared" si="605"/>
        <v>11</v>
      </c>
      <c r="R448" s="202">
        <f t="shared" si="573"/>
        <v>52902</v>
      </c>
      <c r="S448" s="203">
        <f t="shared" si="557"/>
        <v>0.04</v>
      </c>
      <c r="T448" s="204">
        <f t="shared" ca="1" si="558"/>
        <v>244</v>
      </c>
      <c r="U448" s="205">
        <f t="shared" ca="1" si="559"/>
        <v>230952.42175191015</v>
      </c>
      <c r="V448" s="205">
        <f t="shared" ca="1" si="542"/>
        <v>-2387.0764773272967</v>
      </c>
      <c r="W448" s="205">
        <f t="shared" ca="1" si="543"/>
        <v>-769.84140583970054</v>
      </c>
      <c r="X448" s="205">
        <f t="shared" ca="1" si="560"/>
        <v>-1617.2350714875961</v>
      </c>
      <c r="Y448" s="205">
        <f t="shared" ca="1" si="561"/>
        <v>229335.18668042254</v>
      </c>
      <c r="Z448" s="199"/>
      <c r="AA448" s="200">
        <f t="shared" ca="1" si="549"/>
        <v>36</v>
      </c>
      <c r="AB448" s="509">
        <f t="shared" ca="1" si="544"/>
        <v>430</v>
      </c>
      <c r="AC448" s="200">
        <f t="shared" si="609"/>
        <v>36</v>
      </c>
      <c r="AD448" s="201">
        <f t="shared" si="606"/>
        <v>11</v>
      </c>
      <c r="AE448" s="202">
        <f t="shared" ca="1" si="575"/>
        <v>57497</v>
      </c>
      <c r="AF448" s="203">
        <f>IF(Dashboard!$R$24="Float",AF447+Dashboard!$R$24/12,AF447)</f>
        <v>0.06</v>
      </c>
      <c r="AG448" s="204">
        <f t="shared" si="562"/>
        <v>431</v>
      </c>
      <c r="AH448" s="205">
        <f t="shared" si="563"/>
        <v>0</v>
      </c>
      <c r="AI448" s="205">
        <f t="shared" si="546"/>
        <v>0</v>
      </c>
      <c r="AJ448" s="205">
        <f t="shared" si="547"/>
        <v>0</v>
      </c>
      <c r="AK448" s="205">
        <f t="shared" si="564"/>
        <v>0</v>
      </c>
      <c r="AL448" s="205">
        <f t="shared" si="565"/>
        <v>0</v>
      </c>
      <c r="AM448" s="199"/>
      <c r="AN448" s="200">
        <f t="shared" si="610"/>
        <v>37</v>
      </c>
      <c r="AO448" s="201">
        <f t="shared" si="607"/>
        <v>11</v>
      </c>
      <c r="AP448" s="202">
        <f t="shared" ca="1" si="577"/>
        <v>57497</v>
      </c>
      <c r="AQ448" s="203">
        <f>IF(Dashboard!$S$20="Float",AQ447+Dashboard!$T$20/12,AQ447)</f>
        <v>4.4999999999999998E-2</v>
      </c>
      <c r="AR448" s="204">
        <f t="shared" si="566"/>
        <v>431</v>
      </c>
      <c r="AS448" s="205">
        <f t="shared" si="567"/>
        <v>-2.9168010045394773E-10</v>
      </c>
      <c r="AT448" s="205">
        <f t="shared" si="550"/>
        <v>-3.6516212276183074E-12</v>
      </c>
      <c r="AU448" s="205">
        <f t="shared" si="551"/>
        <v>1.0938003767023038E-12</v>
      </c>
      <c r="AV448" s="205">
        <f t="shared" si="568"/>
        <v>-4.7454216043206114E-12</v>
      </c>
      <c r="AW448" s="205">
        <f t="shared" si="569"/>
        <v>-2.9642552205826833E-10</v>
      </c>
      <c r="AX448" s="199"/>
    </row>
    <row r="449" spans="1:50">
      <c r="A449" s="73"/>
      <c r="B449" s="570"/>
      <c r="C449" s="200">
        <f t="shared" si="608"/>
        <v>36</v>
      </c>
      <c r="D449" s="201">
        <f t="shared" si="604"/>
        <v>12</v>
      </c>
      <c r="E449" s="202">
        <f t="shared" ca="1" si="571"/>
        <v>57527</v>
      </c>
      <c r="F449" s="203">
        <f>IF(Dashboard!$Q$5="Float",F448+Dashboard!$R$5/12,F448)</f>
        <v>0.04</v>
      </c>
      <c r="G449" s="204">
        <f t="shared" si="552"/>
        <v>432</v>
      </c>
      <c r="H449" s="205">
        <f t="shared" si="553"/>
        <v>0</v>
      </c>
      <c r="I449" s="205">
        <f t="shared" si="538"/>
        <v>0</v>
      </c>
      <c r="J449" s="205">
        <f t="shared" si="539"/>
        <v>0</v>
      </c>
      <c r="K449" s="205">
        <f t="shared" si="554"/>
        <v>0</v>
      </c>
      <c r="L449" s="205">
        <f t="shared" si="555"/>
        <v>0</v>
      </c>
      <c r="M449" s="199"/>
      <c r="N449" s="200">
        <f t="shared" ca="1" si="556"/>
        <v>24</v>
      </c>
      <c r="O449" s="509">
        <f t="shared" ca="1" si="540"/>
        <v>280</v>
      </c>
      <c r="P449" s="200">
        <f t="shared" ca="1" si="541"/>
        <v>24</v>
      </c>
      <c r="Q449" s="201">
        <f t="shared" si="605"/>
        <v>12</v>
      </c>
      <c r="R449" s="202">
        <f t="shared" si="573"/>
        <v>52932</v>
      </c>
      <c r="S449" s="203">
        <f t="shared" si="557"/>
        <v>0.04</v>
      </c>
      <c r="T449" s="204">
        <f t="shared" ca="1" si="558"/>
        <v>245</v>
      </c>
      <c r="U449" s="205">
        <f t="shared" ca="1" si="559"/>
        <v>229335.18668042254</v>
      </c>
      <c r="V449" s="205">
        <f t="shared" ca="1" si="542"/>
        <v>-2387.0764773272963</v>
      </c>
      <c r="W449" s="205">
        <f t="shared" ca="1" si="543"/>
        <v>-764.45062226807522</v>
      </c>
      <c r="X449" s="205">
        <f t="shared" ca="1" si="560"/>
        <v>-1622.6258550592211</v>
      </c>
      <c r="Y449" s="205">
        <f t="shared" ca="1" si="561"/>
        <v>227712.56082536333</v>
      </c>
      <c r="Z449" s="199"/>
      <c r="AA449" s="200">
        <f t="shared" ca="1" si="549"/>
        <v>36</v>
      </c>
      <c r="AB449" s="509">
        <f t="shared" ca="1" si="544"/>
        <v>431</v>
      </c>
      <c r="AC449" s="200">
        <f t="shared" si="609"/>
        <v>36</v>
      </c>
      <c r="AD449" s="201">
        <f t="shared" si="606"/>
        <v>12</v>
      </c>
      <c r="AE449" s="202">
        <f t="shared" ca="1" si="575"/>
        <v>57527</v>
      </c>
      <c r="AF449" s="203">
        <f>IF(Dashboard!$R$24="Float",AF448+Dashboard!$R$24/12,AF448)</f>
        <v>0.06</v>
      </c>
      <c r="AG449" s="204">
        <f t="shared" si="562"/>
        <v>432</v>
      </c>
      <c r="AH449" s="205">
        <f t="shared" si="563"/>
        <v>0</v>
      </c>
      <c r="AI449" s="205">
        <f t="shared" si="546"/>
        <v>0</v>
      </c>
      <c r="AJ449" s="205">
        <f t="shared" si="547"/>
        <v>0</v>
      </c>
      <c r="AK449" s="205">
        <f t="shared" si="564"/>
        <v>0</v>
      </c>
      <c r="AL449" s="205">
        <f t="shared" si="565"/>
        <v>0</v>
      </c>
      <c r="AM449" s="199"/>
      <c r="AN449" s="200">
        <f t="shared" si="610"/>
        <v>37</v>
      </c>
      <c r="AO449" s="201">
        <f t="shared" si="607"/>
        <v>12</v>
      </c>
      <c r="AP449" s="202">
        <f t="shared" ca="1" si="577"/>
        <v>57527</v>
      </c>
      <c r="AQ449" s="203">
        <f>IF(Dashboard!$S$20="Float",AQ448+Dashboard!$T$20/12,AQ448)</f>
        <v>4.4999999999999998E-2</v>
      </c>
      <c r="AR449" s="204">
        <f t="shared" si="566"/>
        <v>432</v>
      </c>
      <c r="AS449" s="205">
        <f t="shared" si="567"/>
        <v>-2.9642552205826833E-10</v>
      </c>
      <c r="AT449" s="205">
        <f t="shared" si="550"/>
        <v>-3.6516212276183074E-12</v>
      </c>
      <c r="AU449" s="205">
        <f t="shared" si="551"/>
        <v>1.1115957077185063E-12</v>
      </c>
      <c r="AV449" s="205">
        <f t="shared" si="568"/>
        <v>-4.7632169353368139E-12</v>
      </c>
      <c r="AW449" s="205">
        <f t="shared" si="569"/>
        <v>-3.0118873899360512E-10</v>
      </c>
      <c r="AX449" s="199"/>
    </row>
    <row r="450" spans="1:50">
      <c r="A450" s="73"/>
      <c r="B450" s="571">
        <f>+C450</f>
        <v>37</v>
      </c>
      <c r="C450" s="16">
        <f t="shared" ref="C450" si="611">+C449+1</f>
        <v>37</v>
      </c>
      <c r="D450" s="17">
        <v>1</v>
      </c>
      <c r="E450" s="18">
        <f t="shared" ca="1" si="571"/>
        <v>57558</v>
      </c>
      <c r="F450" s="10">
        <f>IF(Dashboard!$Q$5="Float",F449+Dashboard!$R$5/12,F449)</f>
        <v>0.04</v>
      </c>
      <c r="G450" s="14">
        <f t="shared" si="552"/>
        <v>433</v>
      </c>
      <c r="H450" s="5">
        <f t="shared" si="553"/>
        <v>0</v>
      </c>
      <c r="I450" s="5">
        <f t="shared" si="538"/>
        <v>0</v>
      </c>
      <c r="J450" s="5">
        <f t="shared" si="539"/>
        <v>0</v>
      </c>
      <c r="K450" s="5">
        <f t="shared" si="554"/>
        <v>0</v>
      </c>
      <c r="L450" s="5">
        <f t="shared" si="555"/>
        <v>0</v>
      </c>
      <c r="M450" s="199"/>
      <c r="N450" s="16">
        <f t="shared" ca="1" si="556"/>
        <v>24</v>
      </c>
      <c r="O450" s="508">
        <f t="shared" ca="1" si="540"/>
        <v>281</v>
      </c>
      <c r="P450" s="16">
        <f t="shared" ca="1" si="541"/>
        <v>24</v>
      </c>
      <c r="Q450" s="17">
        <v>1</v>
      </c>
      <c r="R450" s="18">
        <f t="shared" si="573"/>
        <v>52963</v>
      </c>
      <c r="S450" s="10">
        <f t="shared" si="557"/>
        <v>0.04</v>
      </c>
      <c r="T450" s="14">
        <f t="shared" ca="1" si="558"/>
        <v>246</v>
      </c>
      <c r="U450" s="5">
        <f t="shared" ca="1" si="559"/>
        <v>227712.56082536333</v>
      </c>
      <c r="V450" s="5">
        <f t="shared" ca="1" si="542"/>
        <v>-2387.0764773272963</v>
      </c>
      <c r="W450" s="5">
        <f t="shared" ca="1" si="543"/>
        <v>-759.04186941787782</v>
      </c>
      <c r="X450" s="5">
        <f t="shared" ca="1" si="560"/>
        <v>-1628.0346079094184</v>
      </c>
      <c r="Y450" s="5">
        <f t="shared" ca="1" si="561"/>
        <v>226084.52621745391</v>
      </c>
      <c r="Z450" s="199"/>
      <c r="AA450" s="16">
        <f t="shared" ca="1" si="549"/>
        <v>36</v>
      </c>
      <c r="AB450" s="508">
        <f t="shared" ca="1" si="544"/>
        <v>432</v>
      </c>
      <c r="AC450" s="16">
        <f t="shared" ref="AC450" si="612">+AC449+1</f>
        <v>37</v>
      </c>
      <c r="AD450" s="17">
        <v>1</v>
      </c>
      <c r="AE450" s="18">
        <f t="shared" ca="1" si="575"/>
        <v>57558</v>
      </c>
      <c r="AF450" s="10">
        <f>IF(Dashboard!$R$24="Float",AF449+Dashboard!$R$24/12,AF449)</f>
        <v>0.06</v>
      </c>
      <c r="AG450" s="14">
        <f t="shared" si="562"/>
        <v>433</v>
      </c>
      <c r="AH450" s="5">
        <f t="shared" si="563"/>
        <v>0</v>
      </c>
      <c r="AI450" s="5">
        <f t="shared" si="546"/>
        <v>0</v>
      </c>
      <c r="AJ450" s="5">
        <f t="shared" si="547"/>
        <v>0</v>
      </c>
      <c r="AK450" s="5">
        <f t="shared" si="564"/>
        <v>0</v>
      </c>
      <c r="AL450" s="5">
        <f t="shared" si="565"/>
        <v>0</v>
      </c>
      <c r="AM450" s="199"/>
      <c r="AN450" s="16">
        <f t="shared" ref="AN450" si="613">+AN449+1</f>
        <v>38</v>
      </c>
      <c r="AO450" s="17">
        <v>1</v>
      </c>
      <c r="AP450" s="18">
        <f t="shared" ca="1" si="577"/>
        <v>57558</v>
      </c>
      <c r="AQ450" s="10">
        <f>IF(Dashboard!$S$20="Float",AQ449+Dashboard!$T$20/12,AQ449)</f>
        <v>4.4999999999999998E-2</v>
      </c>
      <c r="AR450" s="14">
        <f t="shared" si="566"/>
        <v>433</v>
      </c>
      <c r="AS450" s="5">
        <f t="shared" si="567"/>
        <v>-3.0118873899360512E-10</v>
      </c>
      <c r="AT450" s="5">
        <f t="shared" si="550"/>
        <v>-3.6516212276183074E-12</v>
      </c>
      <c r="AU450" s="5">
        <f t="shared" si="551"/>
        <v>1.1294577712260192E-12</v>
      </c>
      <c r="AV450" s="5">
        <f t="shared" si="568"/>
        <v>-4.7810789988443264E-12</v>
      </c>
      <c r="AW450" s="5">
        <f t="shared" si="569"/>
        <v>-3.0596981799244946E-10</v>
      </c>
      <c r="AX450" s="199"/>
    </row>
    <row r="451" spans="1:50">
      <c r="A451" s="73"/>
      <c r="B451" s="572"/>
      <c r="C451" s="16">
        <f>+C450</f>
        <v>37</v>
      </c>
      <c r="D451" s="17">
        <f>+D450+1</f>
        <v>2</v>
      </c>
      <c r="E451" s="18">
        <f t="shared" ca="1" si="571"/>
        <v>57589</v>
      </c>
      <c r="F451" s="10">
        <f>IF(Dashboard!$Q$5="Float",F450+Dashboard!$R$5/12,F450)</f>
        <v>0.04</v>
      </c>
      <c r="G451" s="14">
        <f t="shared" si="552"/>
        <v>434</v>
      </c>
      <c r="H451" s="5">
        <f t="shared" si="553"/>
        <v>0</v>
      </c>
      <c r="I451" s="5">
        <f t="shared" si="538"/>
        <v>0</v>
      </c>
      <c r="J451" s="5">
        <f t="shared" si="539"/>
        <v>0</v>
      </c>
      <c r="K451" s="5">
        <f t="shared" si="554"/>
        <v>0</v>
      </c>
      <c r="L451" s="5">
        <f t="shared" si="555"/>
        <v>0</v>
      </c>
      <c r="M451" s="199"/>
      <c r="N451" s="16">
        <f t="shared" ca="1" si="556"/>
        <v>24</v>
      </c>
      <c r="O451" s="508">
        <f t="shared" ca="1" si="540"/>
        <v>282</v>
      </c>
      <c r="P451" s="16">
        <f t="shared" ca="1" si="541"/>
        <v>24</v>
      </c>
      <c r="Q451" s="17">
        <f>+Q450+1</f>
        <v>2</v>
      </c>
      <c r="R451" s="18">
        <f t="shared" si="573"/>
        <v>52994</v>
      </c>
      <c r="S451" s="10">
        <f t="shared" si="557"/>
        <v>0.04</v>
      </c>
      <c r="T451" s="14">
        <f t="shared" ca="1" si="558"/>
        <v>247</v>
      </c>
      <c r="U451" s="5">
        <f t="shared" ca="1" si="559"/>
        <v>226084.52621745391</v>
      </c>
      <c r="V451" s="5">
        <f t="shared" ca="1" si="542"/>
        <v>-2387.0764773272963</v>
      </c>
      <c r="W451" s="5">
        <f t="shared" ca="1" si="543"/>
        <v>-753.61508739151304</v>
      </c>
      <c r="X451" s="5">
        <f t="shared" ca="1" si="560"/>
        <v>-1633.4613899357832</v>
      </c>
      <c r="Y451" s="5">
        <f t="shared" ca="1" si="561"/>
        <v>224451.06482751813</v>
      </c>
      <c r="Z451" s="199"/>
      <c r="AA451" s="16">
        <f t="shared" ca="1" si="549"/>
        <v>37</v>
      </c>
      <c r="AB451" s="508">
        <f t="shared" ca="1" si="544"/>
        <v>433</v>
      </c>
      <c r="AC451" s="16">
        <f>+AC450</f>
        <v>37</v>
      </c>
      <c r="AD451" s="17">
        <f>+AD450+1</f>
        <v>2</v>
      </c>
      <c r="AE451" s="18">
        <f t="shared" ca="1" si="575"/>
        <v>57589</v>
      </c>
      <c r="AF451" s="10">
        <f>IF(Dashboard!$R$24="Float",AF450+Dashboard!$R$24/12,AF450)</f>
        <v>0.06</v>
      </c>
      <c r="AG451" s="14">
        <f t="shared" si="562"/>
        <v>434</v>
      </c>
      <c r="AH451" s="5">
        <f t="shared" si="563"/>
        <v>0</v>
      </c>
      <c r="AI451" s="5">
        <f t="shared" si="546"/>
        <v>0</v>
      </c>
      <c r="AJ451" s="5">
        <f t="shared" si="547"/>
        <v>0</v>
      </c>
      <c r="AK451" s="5">
        <f t="shared" si="564"/>
        <v>0</v>
      </c>
      <c r="AL451" s="5">
        <f t="shared" si="565"/>
        <v>0</v>
      </c>
      <c r="AM451" s="199"/>
      <c r="AN451" s="16">
        <f>+AN450</f>
        <v>38</v>
      </c>
      <c r="AO451" s="17">
        <f>+AO450+1</f>
        <v>2</v>
      </c>
      <c r="AP451" s="18">
        <f t="shared" ca="1" si="577"/>
        <v>57589</v>
      </c>
      <c r="AQ451" s="10">
        <f>IF(Dashboard!$S$20="Float",AQ450+Dashboard!$T$20/12,AQ450)</f>
        <v>4.4999999999999998E-2</v>
      </c>
      <c r="AR451" s="14">
        <f t="shared" si="566"/>
        <v>434</v>
      </c>
      <c r="AS451" s="5">
        <f t="shared" si="567"/>
        <v>-3.0596981799244946E-10</v>
      </c>
      <c r="AT451" s="5">
        <f t="shared" si="550"/>
        <v>-3.6516212276183074E-12</v>
      </c>
      <c r="AU451" s="5">
        <f t="shared" si="551"/>
        <v>1.1473868174716855E-12</v>
      </c>
      <c r="AV451" s="5">
        <f t="shared" si="568"/>
        <v>-4.7990080450899931E-12</v>
      </c>
      <c r="AW451" s="5">
        <f t="shared" si="569"/>
        <v>-3.1076882603753946E-10</v>
      </c>
      <c r="AX451" s="199"/>
    </row>
    <row r="452" spans="1:50">
      <c r="A452" s="73"/>
      <c r="B452" s="572"/>
      <c r="C452" s="16">
        <f>+C451</f>
        <v>37</v>
      </c>
      <c r="D452" s="17">
        <f>+D451+1</f>
        <v>3</v>
      </c>
      <c r="E452" s="18">
        <f t="shared" ca="1" si="571"/>
        <v>57619</v>
      </c>
      <c r="F452" s="10">
        <f>IF(Dashboard!$Q$5="Float",F451+Dashboard!$R$5/12,F451)</f>
        <v>0.04</v>
      </c>
      <c r="G452" s="14">
        <f t="shared" si="552"/>
        <v>435</v>
      </c>
      <c r="H452" s="5">
        <f t="shared" si="553"/>
        <v>0</v>
      </c>
      <c r="I452" s="5">
        <f t="shared" si="538"/>
        <v>0</v>
      </c>
      <c r="J452" s="5">
        <f t="shared" si="539"/>
        <v>0</v>
      </c>
      <c r="K452" s="5">
        <f t="shared" si="554"/>
        <v>0</v>
      </c>
      <c r="L452" s="5">
        <f t="shared" si="555"/>
        <v>0</v>
      </c>
      <c r="M452" s="199"/>
      <c r="N452" s="16">
        <f t="shared" ca="1" si="556"/>
        <v>24</v>
      </c>
      <c r="O452" s="508">
        <f t="shared" ca="1" si="540"/>
        <v>283</v>
      </c>
      <c r="P452" s="16">
        <f t="shared" ca="1" si="541"/>
        <v>24</v>
      </c>
      <c r="Q452" s="17">
        <f>+Q451+1</f>
        <v>3</v>
      </c>
      <c r="R452" s="18">
        <f t="shared" si="573"/>
        <v>53022</v>
      </c>
      <c r="S452" s="10">
        <f t="shared" si="557"/>
        <v>0.04</v>
      </c>
      <c r="T452" s="14">
        <f t="shared" ca="1" si="558"/>
        <v>248</v>
      </c>
      <c r="U452" s="5">
        <f t="shared" ca="1" si="559"/>
        <v>224451.06482751813</v>
      </c>
      <c r="V452" s="5">
        <f t="shared" ca="1" si="542"/>
        <v>-2387.0764773272963</v>
      </c>
      <c r="W452" s="5">
        <f t="shared" ca="1" si="543"/>
        <v>-748.17021609172707</v>
      </c>
      <c r="X452" s="5">
        <f t="shared" ca="1" si="560"/>
        <v>-1638.9062612355692</v>
      </c>
      <c r="Y452" s="5">
        <f t="shared" ca="1" si="561"/>
        <v>222812.15856628257</v>
      </c>
      <c r="Z452" s="199"/>
      <c r="AA452" s="16">
        <f t="shared" ca="1" si="549"/>
        <v>37</v>
      </c>
      <c r="AB452" s="508">
        <f t="shared" ca="1" si="544"/>
        <v>434</v>
      </c>
      <c r="AC452" s="16">
        <f>+AC451</f>
        <v>37</v>
      </c>
      <c r="AD452" s="17">
        <f>+AD451+1</f>
        <v>3</v>
      </c>
      <c r="AE452" s="18">
        <f t="shared" ca="1" si="575"/>
        <v>57619</v>
      </c>
      <c r="AF452" s="10">
        <f>IF(Dashboard!$R$24="Float",AF451+Dashboard!$R$24/12,AF451)</f>
        <v>0.06</v>
      </c>
      <c r="AG452" s="14">
        <f t="shared" si="562"/>
        <v>435</v>
      </c>
      <c r="AH452" s="5">
        <f t="shared" si="563"/>
        <v>0</v>
      </c>
      <c r="AI452" s="5">
        <f t="shared" si="546"/>
        <v>0</v>
      </c>
      <c r="AJ452" s="5">
        <f t="shared" si="547"/>
        <v>0</v>
      </c>
      <c r="AK452" s="5">
        <f t="shared" si="564"/>
        <v>0</v>
      </c>
      <c r="AL452" s="5">
        <f t="shared" si="565"/>
        <v>0</v>
      </c>
      <c r="AM452" s="199"/>
      <c r="AN452" s="16">
        <f>+AN451</f>
        <v>38</v>
      </c>
      <c r="AO452" s="17">
        <f>+AO451+1</f>
        <v>3</v>
      </c>
      <c r="AP452" s="18">
        <f t="shared" ca="1" si="577"/>
        <v>57619</v>
      </c>
      <c r="AQ452" s="10">
        <f>IF(Dashboard!$S$20="Float",AQ451+Dashboard!$T$20/12,AQ451)</f>
        <v>4.4999999999999998E-2</v>
      </c>
      <c r="AR452" s="14">
        <f t="shared" si="566"/>
        <v>435</v>
      </c>
      <c r="AS452" s="5">
        <f t="shared" si="567"/>
        <v>-3.1076882603753946E-10</v>
      </c>
      <c r="AT452" s="5">
        <f t="shared" si="550"/>
        <v>-3.6516212276183074E-12</v>
      </c>
      <c r="AU452" s="5">
        <f t="shared" si="551"/>
        <v>1.1653830976407731E-12</v>
      </c>
      <c r="AV452" s="5">
        <f t="shared" si="568"/>
        <v>-4.8170043252590806E-12</v>
      </c>
      <c r="AW452" s="5">
        <f t="shared" si="569"/>
        <v>-3.1558583036279855E-10</v>
      </c>
      <c r="AX452" s="199"/>
    </row>
    <row r="453" spans="1:50">
      <c r="A453" s="73"/>
      <c r="B453" s="572"/>
      <c r="C453" s="16">
        <f>+C452</f>
        <v>37</v>
      </c>
      <c r="D453" s="17">
        <f t="shared" ref="D453:D461" si="614">+D452+1</f>
        <v>4</v>
      </c>
      <c r="E453" s="18">
        <f t="shared" ca="1" si="571"/>
        <v>57650</v>
      </c>
      <c r="F453" s="10">
        <f>IF(Dashboard!$Q$5="Float",F452+Dashboard!$R$5/12,F452)</f>
        <v>0.04</v>
      </c>
      <c r="G453" s="14">
        <f t="shared" si="552"/>
        <v>436</v>
      </c>
      <c r="H453" s="5">
        <f t="shared" si="553"/>
        <v>0</v>
      </c>
      <c r="I453" s="5">
        <f t="shared" si="538"/>
        <v>0</v>
      </c>
      <c r="J453" s="5">
        <f t="shared" si="539"/>
        <v>0</v>
      </c>
      <c r="K453" s="5">
        <f t="shared" si="554"/>
        <v>0</v>
      </c>
      <c r="L453" s="5">
        <f t="shared" si="555"/>
        <v>0</v>
      </c>
      <c r="M453" s="199"/>
      <c r="N453" s="16">
        <f t="shared" ca="1" si="556"/>
        <v>24</v>
      </c>
      <c r="O453" s="508">
        <f t="shared" ca="1" si="540"/>
        <v>284</v>
      </c>
      <c r="P453" s="16">
        <f t="shared" ca="1" si="541"/>
        <v>24</v>
      </c>
      <c r="Q453" s="17">
        <f t="shared" ref="Q453:Q461" si="615">+Q452+1</f>
        <v>4</v>
      </c>
      <c r="R453" s="18">
        <f t="shared" si="573"/>
        <v>53053</v>
      </c>
      <c r="S453" s="10">
        <f t="shared" si="557"/>
        <v>0.04</v>
      </c>
      <c r="T453" s="14">
        <f t="shared" ca="1" si="558"/>
        <v>249</v>
      </c>
      <c r="U453" s="5">
        <f t="shared" ca="1" si="559"/>
        <v>222812.15856628257</v>
      </c>
      <c r="V453" s="5">
        <f t="shared" ca="1" si="542"/>
        <v>-2387.0764773272963</v>
      </c>
      <c r="W453" s="5">
        <f t="shared" ca="1" si="543"/>
        <v>-742.7071952209418</v>
      </c>
      <c r="X453" s="5">
        <f t="shared" ca="1" si="560"/>
        <v>-1644.3692821063546</v>
      </c>
      <c r="Y453" s="5">
        <f t="shared" ca="1" si="561"/>
        <v>221167.78928417622</v>
      </c>
      <c r="Z453" s="199"/>
      <c r="AA453" s="16">
        <f t="shared" ca="1" si="549"/>
        <v>37</v>
      </c>
      <c r="AB453" s="508">
        <f t="shared" ca="1" si="544"/>
        <v>435</v>
      </c>
      <c r="AC453" s="16">
        <f>+AC452</f>
        <v>37</v>
      </c>
      <c r="AD453" s="17">
        <f t="shared" ref="AD453:AD461" si="616">+AD452+1</f>
        <v>4</v>
      </c>
      <c r="AE453" s="18">
        <f t="shared" ca="1" si="575"/>
        <v>57650</v>
      </c>
      <c r="AF453" s="10">
        <f>IF(Dashboard!$R$24="Float",AF452+Dashboard!$R$24/12,AF452)</f>
        <v>0.06</v>
      </c>
      <c r="AG453" s="14">
        <f t="shared" si="562"/>
        <v>436</v>
      </c>
      <c r="AH453" s="5">
        <f t="shared" si="563"/>
        <v>0</v>
      </c>
      <c r="AI453" s="5">
        <f t="shared" si="546"/>
        <v>0</v>
      </c>
      <c r="AJ453" s="5">
        <f t="shared" si="547"/>
        <v>0</v>
      </c>
      <c r="AK453" s="5">
        <f t="shared" si="564"/>
        <v>0</v>
      </c>
      <c r="AL453" s="5">
        <f t="shared" si="565"/>
        <v>0</v>
      </c>
      <c r="AM453" s="199"/>
      <c r="AN453" s="16">
        <f>+AN452</f>
        <v>38</v>
      </c>
      <c r="AO453" s="17">
        <f t="shared" ref="AO453:AO461" si="617">+AO452+1</f>
        <v>4</v>
      </c>
      <c r="AP453" s="18">
        <f t="shared" ca="1" si="577"/>
        <v>57650</v>
      </c>
      <c r="AQ453" s="10">
        <f>IF(Dashboard!$S$20="Float",AQ452+Dashboard!$T$20/12,AQ452)</f>
        <v>4.4999999999999998E-2</v>
      </c>
      <c r="AR453" s="14">
        <f t="shared" si="566"/>
        <v>436</v>
      </c>
      <c r="AS453" s="5">
        <f t="shared" si="567"/>
        <v>-3.1558583036279855E-10</v>
      </c>
      <c r="AT453" s="5">
        <f t="shared" si="550"/>
        <v>-3.6516212276183082E-12</v>
      </c>
      <c r="AU453" s="5">
        <f t="shared" si="551"/>
        <v>1.1834468638604946E-12</v>
      </c>
      <c r="AV453" s="5">
        <f t="shared" si="568"/>
        <v>-4.835068091478803E-12</v>
      </c>
      <c r="AW453" s="5">
        <f t="shared" si="569"/>
        <v>-3.2042089845427736E-10</v>
      </c>
      <c r="AX453" s="199"/>
    </row>
    <row r="454" spans="1:50">
      <c r="A454" s="73"/>
      <c r="B454" s="572"/>
      <c r="C454" s="16">
        <f t="shared" ref="C454:C461" si="618">+C453</f>
        <v>37</v>
      </c>
      <c r="D454" s="17">
        <f t="shared" si="614"/>
        <v>5</v>
      </c>
      <c r="E454" s="18">
        <f t="shared" ca="1" si="571"/>
        <v>57680</v>
      </c>
      <c r="F454" s="10">
        <f>IF(Dashboard!$Q$5="Float",F453+Dashboard!$R$5/12,F453)</f>
        <v>0.04</v>
      </c>
      <c r="G454" s="14">
        <f t="shared" si="552"/>
        <v>437</v>
      </c>
      <c r="H454" s="5">
        <f t="shared" si="553"/>
        <v>0</v>
      </c>
      <c r="I454" s="5">
        <f t="shared" si="538"/>
        <v>0</v>
      </c>
      <c r="J454" s="5">
        <f t="shared" si="539"/>
        <v>0</v>
      </c>
      <c r="K454" s="5">
        <f t="shared" si="554"/>
        <v>0</v>
      </c>
      <c r="L454" s="5">
        <f t="shared" si="555"/>
        <v>0</v>
      </c>
      <c r="M454" s="199"/>
      <c r="N454" s="16">
        <f t="shared" ca="1" si="556"/>
        <v>24</v>
      </c>
      <c r="O454" s="508">
        <f t="shared" ca="1" si="540"/>
        <v>285</v>
      </c>
      <c r="P454" s="16">
        <f t="shared" ca="1" si="541"/>
        <v>24</v>
      </c>
      <c r="Q454" s="17">
        <f t="shared" si="615"/>
        <v>5</v>
      </c>
      <c r="R454" s="18">
        <f t="shared" si="573"/>
        <v>53083</v>
      </c>
      <c r="S454" s="10">
        <f t="shared" si="557"/>
        <v>0.04</v>
      </c>
      <c r="T454" s="14">
        <f t="shared" ca="1" si="558"/>
        <v>250</v>
      </c>
      <c r="U454" s="5">
        <f t="shared" ca="1" si="559"/>
        <v>221167.78928417622</v>
      </c>
      <c r="V454" s="5">
        <f t="shared" ca="1" si="542"/>
        <v>-2387.0764773272967</v>
      </c>
      <c r="W454" s="5">
        <f t="shared" ca="1" si="543"/>
        <v>-737.22596428058739</v>
      </c>
      <c r="X454" s="5">
        <f t="shared" ca="1" si="560"/>
        <v>-1649.8505130467092</v>
      </c>
      <c r="Y454" s="5">
        <f t="shared" ca="1" si="561"/>
        <v>219517.93877112953</v>
      </c>
      <c r="Z454" s="199"/>
      <c r="AA454" s="16">
        <f t="shared" ca="1" si="549"/>
        <v>37</v>
      </c>
      <c r="AB454" s="508">
        <f t="shared" ca="1" si="544"/>
        <v>436</v>
      </c>
      <c r="AC454" s="16">
        <f t="shared" ref="AC454:AC461" si="619">+AC453</f>
        <v>37</v>
      </c>
      <c r="AD454" s="17">
        <f t="shared" si="616"/>
        <v>5</v>
      </c>
      <c r="AE454" s="18">
        <f t="shared" ca="1" si="575"/>
        <v>57680</v>
      </c>
      <c r="AF454" s="10">
        <f>IF(Dashboard!$R$24="Float",AF453+Dashboard!$R$24/12,AF453)</f>
        <v>0.06</v>
      </c>
      <c r="AG454" s="14">
        <f t="shared" si="562"/>
        <v>437</v>
      </c>
      <c r="AH454" s="5">
        <f t="shared" si="563"/>
        <v>0</v>
      </c>
      <c r="AI454" s="5">
        <f t="shared" si="546"/>
        <v>0</v>
      </c>
      <c r="AJ454" s="5">
        <f t="shared" si="547"/>
        <v>0</v>
      </c>
      <c r="AK454" s="5">
        <f t="shared" si="564"/>
        <v>0</v>
      </c>
      <c r="AL454" s="5">
        <f t="shared" si="565"/>
        <v>0</v>
      </c>
      <c r="AM454" s="199"/>
      <c r="AN454" s="16">
        <f t="shared" ref="AN454:AN461" si="620">+AN453</f>
        <v>38</v>
      </c>
      <c r="AO454" s="17">
        <f t="shared" si="617"/>
        <v>5</v>
      </c>
      <c r="AP454" s="18">
        <f t="shared" ca="1" si="577"/>
        <v>57680</v>
      </c>
      <c r="AQ454" s="10">
        <f>IF(Dashboard!$S$20="Float",AQ453+Dashboard!$T$20/12,AQ453)</f>
        <v>4.4999999999999998E-2</v>
      </c>
      <c r="AR454" s="14">
        <f t="shared" si="566"/>
        <v>437</v>
      </c>
      <c r="AS454" s="5">
        <f t="shared" si="567"/>
        <v>-3.2042089845427736E-10</v>
      </c>
      <c r="AT454" s="5">
        <f t="shared" si="550"/>
        <v>-3.6516212276183082E-12</v>
      </c>
      <c r="AU454" s="5">
        <f t="shared" si="551"/>
        <v>1.20157836920354E-12</v>
      </c>
      <c r="AV454" s="5">
        <f t="shared" si="568"/>
        <v>-4.8531995968218478E-12</v>
      </c>
      <c r="AW454" s="5">
        <f t="shared" si="569"/>
        <v>-3.2527409805109922E-10</v>
      </c>
      <c r="AX454" s="199"/>
    </row>
    <row r="455" spans="1:50">
      <c r="A455" s="73"/>
      <c r="B455" s="572"/>
      <c r="C455" s="16">
        <f t="shared" si="618"/>
        <v>37</v>
      </c>
      <c r="D455" s="17">
        <f t="shared" si="614"/>
        <v>6</v>
      </c>
      <c r="E455" s="18">
        <f t="shared" ca="1" si="571"/>
        <v>57711</v>
      </c>
      <c r="F455" s="10">
        <f>IF(Dashboard!$Q$5="Float",F454+Dashboard!$R$5/12,F454)</f>
        <v>0.04</v>
      </c>
      <c r="G455" s="14">
        <f t="shared" si="552"/>
        <v>438</v>
      </c>
      <c r="H455" s="5">
        <f t="shared" si="553"/>
        <v>0</v>
      </c>
      <c r="I455" s="5">
        <f t="shared" si="538"/>
        <v>0</v>
      </c>
      <c r="J455" s="5">
        <f t="shared" si="539"/>
        <v>0</v>
      </c>
      <c r="K455" s="5">
        <f t="shared" si="554"/>
        <v>0</v>
      </c>
      <c r="L455" s="5">
        <f t="shared" si="555"/>
        <v>0</v>
      </c>
      <c r="M455" s="199"/>
      <c r="N455" s="16">
        <f t="shared" ca="1" si="556"/>
        <v>24</v>
      </c>
      <c r="O455" s="508">
        <f t="shared" ca="1" si="540"/>
        <v>286</v>
      </c>
      <c r="P455" s="16">
        <f t="shared" ca="1" si="541"/>
        <v>24</v>
      </c>
      <c r="Q455" s="17">
        <f t="shared" si="615"/>
        <v>6</v>
      </c>
      <c r="R455" s="18">
        <f t="shared" si="573"/>
        <v>53114</v>
      </c>
      <c r="S455" s="10">
        <f t="shared" si="557"/>
        <v>0.04</v>
      </c>
      <c r="T455" s="14">
        <f t="shared" ca="1" si="558"/>
        <v>251</v>
      </c>
      <c r="U455" s="5">
        <f t="shared" ca="1" si="559"/>
        <v>219517.93877112953</v>
      </c>
      <c r="V455" s="5">
        <f t="shared" ca="1" si="542"/>
        <v>-2387.0764773272967</v>
      </c>
      <c r="W455" s="5">
        <f t="shared" ca="1" si="543"/>
        <v>-731.72646257043186</v>
      </c>
      <c r="X455" s="5">
        <f t="shared" ca="1" si="560"/>
        <v>-1655.3500147568648</v>
      </c>
      <c r="Y455" s="5">
        <f t="shared" ca="1" si="561"/>
        <v>217862.58875637266</v>
      </c>
      <c r="Z455" s="199"/>
      <c r="AA455" s="16">
        <f t="shared" ca="1" si="549"/>
        <v>37</v>
      </c>
      <c r="AB455" s="508">
        <f t="shared" ca="1" si="544"/>
        <v>437</v>
      </c>
      <c r="AC455" s="16">
        <f t="shared" si="619"/>
        <v>37</v>
      </c>
      <c r="AD455" s="17">
        <f t="shared" si="616"/>
        <v>6</v>
      </c>
      <c r="AE455" s="18">
        <f t="shared" ca="1" si="575"/>
        <v>57711</v>
      </c>
      <c r="AF455" s="10">
        <f>IF(Dashboard!$R$24="Float",AF454+Dashboard!$R$24/12,AF454)</f>
        <v>0.06</v>
      </c>
      <c r="AG455" s="14">
        <f t="shared" si="562"/>
        <v>438</v>
      </c>
      <c r="AH455" s="5">
        <f t="shared" si="563"/>
        <v>0</v>
      </c>
      <c r="AI455" s="5">
        <f t="shared" si="546"/>
        <v>0</v>
      </c>
      <c r="AJ455" s="5">
        <f t="shared" si="547"/>
        <v>0</v>
      </c>
      <c r="AK455" s="5">
        <f t="shared" si="564"/>
        <v>0</v>
      </c>
      <c r="AL455" s="5">
        <f t="shared" si="565"/>
        <v>0</v>
      </c>
      <c r="AM455" s="199"/>
      <c r="AN455" s="16">
        <f t="shared" si="620"/>
        <v>38</v>
      </c>
      <c r="AO455" s="17">
        <f t="shared" si="617"/>
        <v>6</v>
      </c>
      <c r="AP455" s="18">
        <f t="shared" ca="1" si="577"/>
        <v>57711</v>
      </c>
      <c r="AQ455" s="10">
        <f>IF(Dashboard!$S$20="Float",AQ454+Dashboard!$T$20/12,AQ454)</f>
        <v>4.4999999999999998E-2</v>
      </c>
      <c r="AR455" s="14">
        <f t="shared" si="566"/>
        <v>438</v>
      </c>
      <c r="AS455" s="5">
        <f t="shared" si="567"/>
        <v>-3.2527409805109922E-10</v>
      </c>
      <c r="AT455" s="5">
        <f t="shared" si="550"/>
        <v>-3.6516212276183082E-12</v>
      </c>
      <c r="AU455" s="5">
        <f t="shared" si="551"/>
        <v>1.2197778676916221E-12</v>
      </c>
      <c r="AV455" s="5">
        <f t="shared" si="568"/>
        <v>-4.8713990953099303E-12</v>
      </c>
      <c r="AW455" s="5">
        <f t="shared" si="569"/>
        <v>-3.3014549714640913E-10</v>
      </c>
      <c r="AX455" s="199"/>
    </row>
    <row r="456" spans="1:50">
      <c r="A456" s="73"/>
      <c r="B456" s="572"/>
      <c r="C456" s="16">
        <f t="shared" si="618"/>
        <v>37</v>
      </c>
      <c r="D456" s="17">
        <f t="shared" si="614"/>
        <v>7</v>
      </c>
      <c r="E456" s="18">
        <f t="shared" ca="1" si="571"/>
        <v>57742</v>
      </c>
      <c r="F456" s="10">
        <f>IF(Dashboard!$Q$5="Float",F455+Dashboard!$R$5/12,F455)</f>
        <v>0.04</v>
      </c>
      <c r="G456" s="14">
        <f t="shared" si="552"/>
        <v>439</v>
      </c>
      <c r="H456" s="5">
        <f t="shared" si="553"/>
        <v>0</v>
      </c>
      <c r="I456" s="5">
        <f t="shared" si="538"/>
        <v>0</v>
      </c>
      <c r="J456" s="5">
        <f t="shared" si="539"/>
        <v>0</v>
      </c>
      <c r="K456" s="5">
        <f t="shared" si="554"/>
        <v>0</v>
      </c>
      <c r="L456" s="5">
        <f t="shared" si="555"/>
        <v>0</v>
      </c>
      <c r="M456" s="199"/>
      <c r="N456" s="16">
        <f t="shared" ca="1" si="556"/>
        <v>24</v>
      </c>
      <c r="O456" s="508">
        <f t="shared" ca="1" si="540"/>
        <v>287</v>
      </c>
      <c r="P456" s="16">
        <f t="shared" ca="1" si="541"/>
        <v>24</v>
      </c>
      <c r="Q456" s="17">
        <f t="shared" si="615"/>
        <v>7</v>
      </c>
      <c r="R456" s="18">
        <f t="shared" si="573"/>
        <v>53144</v>
      </c>
      <c r="S456" s="10">
        <f t="shared" si="557"/>
        <v>0.04</v>
      </c>
      <c r="T456" s="14">
        <f t="shared" ca="1" si="558"/>
        <v>252</v>
      </c>
      <c r="U456" s="5">
        <f t="shared" ca="1" si="559"/>
        <v>217862.58875637266</v>
      </c>
      <c r="V456" s="5">
        <f t="shared" ca="1" si="542"/>
        <v>-2387.0764773272967</v>
      </c>
      <c r="W456" s="5">
        <f t="shared" ca="1" si="543"/>
        <v>-726.20862918790897</v>
      </c>
      <c r="X456" s="5">
        <f t="shared" ca="1" si="560"/>
        <v>-1660.8678481393877</v>
      </c>
      <c r="Y456" s="5">
        <f t="shared" ca="1" si="561"/>
        <v>216201.72090823326</v>
      </c>
      <c r="Z456" s="199"/>
      <c r="AA456" s="16">
        <f t="shared" ca="1" si="549"/>
        <v>37</v>
      </c>
      <c r="AB456" s="508">
        <f t="shared" ca="1" si="544"/>
        <v>438</v>
      </c>
      <c r="AC456" s="16">
        <f t="shared" si="619"/>
        <v>37</v>
      </c>
      <c r="AD456" s="17">
        <f t="shared" si="616"/>
        <v>7</v>
      </c>
      <c r="AE456" s="18">
        <f t="shared" ca="1" si="575"/>
        <v>57742</v>
      </c>
      <c r="AF456" s="10">
        <f>IF(Dashboard!$R$24="Float",AF455+Dashboard!$R$24/12,AF455)</f>
        <v>0.06</v>
      </c>
      <c r="AG456" s="14">
        <f t="shared" si="562"/>
        <v>439</v>
      </c>
      <c r="AH456" s="5">
        <f t="shared" si="563"/>
        <v>0</v>
      </c>
      <c r="AI456" s="5">
        <f t="shared" si="546"/>
        <v>0</v>
      </c>
      <c r="AJ456" s="5">
        <f t="shared" si="547"/>
        <v>0</v>
      </c>
      <c r="AK456" s="5">
        <f t="shared" si="564"/>
        <v>0</v>
      </c>
      <c r="AL456" s="5">
        <f t="shared" si="565"/>
        <v>0</v>
      </c>
      <c r="AM456" s="199"/>
      <c r="AN456" s="16">
        <f t="shared" si="620"/>
        <v>38</v>
      </c>
      <c r="AO456" s="17">
        <f t="shared" si="617"/>
        <v>7</v>
      </c>
      <c r="AP456" s="18">
        <f t="shared" ca="1" si="577"/>
        <v>57742</v>
      </c>
      <c r="AQ456" s="10">
        <f>IF(Dashboard!$S$20="Float",AQ455+Dashboard!$T$20/12,AQ455)</f>
        <v>4.4999999999999998E-2</v>
      </c>
      <c r="AR456" s="14">
        <f t="shared" si="566"/>
        <v>439</v>
      </c>
      <c r="AS456" s="5">
        <f t="shared" si="567"/>
        <v>-3.3014549714640913E-10</v>
      </c>
      <c r="AT456" s="5">
        <f t="shared" si="550"/>
        <v>-3.6516212276183074E-12</v>
      </c>
      <c r="AU456" s="5">
        <f t="shared" si="551"/>
        <v>1.2380456142990341E-12</v>
      </c>
      <c r="AV456" s="5">
        <f t="shared" si="568"/>
        <v>-4.8896668419173415E-12</v>
      </c>
      <c r="AW456" s="5">
        <f t="shared" si="569"/>
        <v>-3.3503516398832645E-10</v>
      </c>
      <c r="AX456" s="199"/>
    </row>
    <row r="457" spans="1:50">
      <c r="A457" s="73"/>
      <c r="B457" s="572"/>
      <c r="C457" s="16">
        <f t="shared" si="618"/>
        <v>37</v>
      </c>
      <c r="D457" s="17">
        <f t="shared" si="614"/>
        <v>8</v>
      </c>
      <c r="E457" s="18">
        <f t="shared" ca="1" si="571"/>
        <v>57770</v>
      </c>
      <c r="F457" s="10">
        <f>IF(Dashboard!$Q$5="Float",F456+Dashboard!$R$5/12,F456)</f>
        <v>0.04</v>
      </c>
      <c r="G457" s="14">
        <f t="shared" si="552"/>
        <v>440</v>
      </c>
      <c r="H457" s="5">
        <f t="shared" si="553"/>
        <v>0</v>
      </c>
      <c r="I457" s="5">
        <f t="shared" si="538"/>
        <v>0</v>
      </c>
      <c r="J457" s="5">
        <f t="shared" si="539"/>
        <v>0</v>
      </c>
      <c r="K457" s="5">
        <f t="shared" si="554"/>
        <v>0</v>
      </c>
      <c r="L457" s="5">
        <f t="shared" si="555"/>
        <v>0</v>
      </c>
      <c r="M457" s="199"/>
      <c r="N457" s="16">
        <f t="shared" ca="1" si="556"/>
        <v>24</v>
      </c>
      <c r="O457" s="508">
        <f t="shared" ca="1" si="540"/>
        <v>288</v>
      </c>
      <c r="P457" s="16">
        <f t="shared" ca="1" si="541"/>
        <v>25</v>
      </c>
      <c r="Q457" s="17">
        <f t="shared" si="615"/>
        <v>8</v>
      </c>
      <c r="R457" s="18">
        <f t="shared" si="573"/>
        <v>53175</v>
      </c>
      <c r="S457" s="10">
        <f t="shared" si="557"/>
        <v>0.04</v>
      </c>
      <c r="T457" s="14">
        <f t="shared" ca="1" si="558"/>
        <v>253</v>
      </c>
      <c r="U457" s="5">
        <f t="shared" ca="1" si="559"/>
        <v>216201.72090823326</v>
      </c>
      <c r="V457" s="5">
        <f t="shared" ca="1" si="542"/>
        <v>-2387.0764773272967</v>
      </c>
      <c r="W457" s="5">
        <f t="shared" ca="1" si="543"/>
        <v>-720.67240302744415</v>
      </c>
      <c r="X457" s="5">
        <f t="shared" ca="1" si="560"/>
        <v>-1666.4040742998527</v>
      </c>
      <c r="Y457" s="5">
        <f t="shared" ca="1" si="561"/>
        <v>214535.31683393341</v>
      </c>
      <c r="Z457" s="199"/>
      <c r="AA457" s="16">
        <f t="shared" ca="1" si="549"/>
        <v>37</v>
      </c>
      <c r="AB457" s="508">
        <f t="shared" ca="1" si="544"/>
        <v>439</v>
      </c>
      <c r="AC457" s="16">
        <f t="shared" si="619"/>
        <v>37</v>
      </c>
      <c r="AD457" s="17">
        <f t="shared" si="616"/>
        <v>8</v>
      </c>
      <c r="AE457" s="18">
        <f t="shared" ca="1" si="575"/>
        <v>57770</v>
      </c>
      <c r="AF457" s="10">
        <f>IF(Dashboard!$R$24="Float",AF456+Dashboard!$R$24/12,AF456)</f>
        <v>0.06</v>
      </c>
      <c r="AG457" s="14">
        <f t="shared" si="562"/>
        <v>440</v>
      </c>
      <c r="AH457" s="5">
        <f t="shared" si="563"/>
        <v>0</v>
      </c>
      <c r="AI457" s="5">
        <f t="shared" si="546"/>
        <v>0</v>
      </c>
      <c r="AJ457" s="5">
        <f t="shared" si="547"/>
        <v>0</v>
      </c>
      <c r="AK457" s="5">
        <f t="shared" si="564"/>
        <v>0</v>
      </c>
      <c r="AL457" s="5">
        <f t="shared" si="565"/>
        <v>0</v>
      </c>
      <c r="AM457" s="199"/>
      <c r="AN457" s="16">
        <f t="shared" si="620"/>
        <v>38</v>
      </c>
      <c r="AO457" s="17">
        <f t="shared" si="617"/>
        <v>8</v>
      </c>
      <c r="AP457" s="18">
        <f t="shared" ca="1" si="577"/>
        <v>57770</v>
      </c>
      <c r="AQ457" s="10">
        <f>IF(Dashboard!$S$20="Float",AQ456+Dashboard!$T$20/12,AQ456)</f>
        <v>4.4999999999999998E-2</v>
      </c>
      <c r="AR457" s="14">
        <f t="shared" si="566"/>
        <v>440</v>
      </c>
      <c r="AS457" s="5">
        <f t="shared" si="567"/>
        <v>-3.3503516398832645E-10</v>
      </c>
      <c r="AT457" s="5">
        <f t="shared" si="550"/>
        <v>-3.6516212276183074E-12</v>
      </c>
      <c r="AU457" s="5">
        <f t="shared" si="551"/>
        <v>1.256381864956224E-12</v>
      </c>
      <c r="AV457" s="5">
        <f t="shared" si="568"/>
        <v>-4.9080030925745312E-12</v>
      </c>
      <c r="AW457" s="5">
        <f t="shared" si="569"/>
        <v>-3.3994316708090099E-10</v>
      </c>
      <c r="AX457" s="199"/>
    </row>
    <row r="458" spans="1:50">
      <c r="A458" s="73"/>
      <c r="B458" s="572"/>
      <c r="C458" s="16">
        <f t="shared" si="618"/>
        <v>37</v>
      </c>
      <c r="D458" s="17">
        <f t="shared" si="614"/>
        <v>9</v>
      </c>
      <c r="E458" s="18">
        <f t="shared" ca="1" si="571"/>
        <v>57801</v>
      </c>
      <c r="F458" s="10">
        <f>IF(Dashboard!$Q$5="Float",F457+Dashboard!$R$5/12,F457)</f>
        <v>0.04</v>
      </c>
      <c r="G458" s="14">
        <f t="shared" si="552"/>
        <v>441</v>
      </c>
      <c r="H458" s="5">
        <f t="shared" si="553"/>
        <v>0</v>
      </c>
      <c r="I458" s="5">
        <f t="shared" si="538"/>
        <v>0</v>
      </c>
      <c r="J458" s="5">
        <f t="shared" si="539"/>
        <v>0</v>
      </c>
      <c r="K458" s="5">
        <f t="shared" si="554"/>
        <v>0</v>
      </c>
      <c r="L458" s="5">
        <f t="shared" si="555"/>
        <v>0</v>
      </c>
      <c r="M458" s="199"/>
      <c r="N458" s="16">
        <f t="shared" ca="1" si="556"/>
        <v>25</v>
      </c>
      <c r="O458" s="508">
        <f t="shared" ca="1" si="540"/>
        <v>289</v>
      </c>
      <c r="P458" s="16">
        <f t="shared" ca="1" si="541"/>
        <v>25</v>
      </c>
      <c r="Q458" s="17">
        <f t="shared" si="615"/>
        <v>9</v>
      </c>
      <c r="R458" s="18">
        <f t="shared" si="573"/>
        <v>53206</v>
      </c>
      <c r="S458" s="10">
        <f t="shared" si="557"/>
        <v>0.04</v>
      </c>
      <c r="T458" s="14">
        <f t="shared" ca="1" si="558"/>
        <v>254</v>
      </c>
      <c r="U458" s="5">
        <f t="shared" ca="1" si="559"/>
        <v>214535.31683393341</v>
      </c>
      <c r="V458" s="5">
        <f t="shared" ca="1" si="542"/>
        <v>-2387.0764773272967</v>
      </c>
      <c r="W458" s="5">
        <f t="shared" ca="1" si="543"/>
        <v>-715.11772277977798</v>
      </c>
      <c r="X458" s="5">
        <f t="shared" ca="1" si="560"/>
        <v>-1671.9587545475188</v>
      </c>
      <c r="Y458" s="5">
        <f t="shared" ca="1" si="561"/>
        <v>212863.35807938589</v>
      </c>
      <c r="Z458" s="199"/>
      <c r="AA458" s="16">
        <f t="shared" ca="1" si="549"/>
        <v>37</v>
      </c>
      <c r="AB458" s="508">
        <f t="shared" ca="1" si="544"/>
        <v>440</v>
      </c>
      <c r="AC458" s="16">
        <f t="shared" si="619"/>
        <v>37</v>
      </c>
      <c r="AD458" s="17">
        <f t="shared" si="616"/>
        <v>9</v>
      </c>
      <c r="AE458" s="18">
        <f t="shared" ca="1" si="575"/>
        <v>57801</v>
      </c>
      <c r="AF458" s="10">
        <f>IF(Dashboard!$R$24="Float",AF457+Dashboard!$R$24/12,AF457)</f>
        <v>0.06</v>
      </c>
      <c r="AG458" s="14">
        <f t="shared" si="562"/>
        <v>441</v>
      </c>
      <c r="AH458" s="5">
        <f t="shared" si="563"/>
        <v>0</v>
      </c>
      <c r="AI458" s="5">
        <f t="shared" si="546"/>
        <v>0</v>
      </c>
      <c r="AJ458" s="5">
        <f t="shared" si="547"/>
        <v>0</v>
      </c>
      <c r="AK458" s="5">
        <f t="shared" si="564"/>
        <v>0</v>
      </c>
      <c r="AL458" s="5">
        <f t="shared" si="565"/>
        <v>0</v>
      </c>
      <c r="AM458" s="199"/>
      <c r="AN458" s="16">
        <f t="shared" si="620"/>
        <v>38</v>
      </c>
      <c r="AO458" s="17">
        <f t="shared" si="617"/>
        <v>9</v>
      </c>
      <c r="AP458" s="18">
        <f t="shared" ca="1" si="577"/>
        <v>57801</v>
      </c>
      <c r="AQ458" s="10">
        <f>IF(Dashboard!$S$20="Float",AQ457+Dashboard!$T$20/12,AQ457)</f>
        <v>4.4999999999999998E-2</v>
      </c>
      <c r="AR458" s="14">
        <f t="shared" si="566"/>
        <v>441</v>
      </c>
      <c r="AS458" s="5">
        <f t="shared" si="567"/>
        <v>-3.3994316708090099E-10</v>
      </c>
      <c r="AT458" s="5">
        <f t="shared" si="550"/>
        <v>-3.6516212276183082E-12</v>
      </c>
      <c r="AU458" s="5">
        <f t="shared" si="551"/>
        <v>1.2747868765533786E-12</v>
      </c>
      <c r="AV458" s="5">
        <f t="shared" si="568"/>
        <v>-4.926408104171687E-12</v>
      </c>
      <c r="AW458" s="5">
        <f t="shared" si="569"/>
        <v>-3.4486957518507271E-10</v>
      </c>
      <c r="AX458" s="199"/>
    </row>
    <row r="459" spans="1:50">
      <c r="A459" s="73"/>
      <c r="B459" s="572"/>
      <c r="C459" s="16">
        <f t="shared" si="618"/>
        <v>37</v>
      </c>
      <c r="D459" s="17">
        <f t="shared" si="614"/>
        <v>10</v>
      </c>
      <c r="E459" s="18">
        <f t="shared" ca="1" si="571"/>
        <v>57831</v>
      </c>
      <c r="F459" s="10">
        <f>IF(Dashboard!$Q$5="Float",F458+Dashboard!$R$5/12,F458)</f>
        <v>0.04</v>
      </c>
      <c r="G459" s="14">
        <f t="shared" si="552"/>
        <v>442</v>
      </c>
      <c r="H459" s="5">
        <f t="shared" si="553"/>
        <v>0</v>
      </c>
      <c r="I459" s="5">
        <f t="shared" si="538"/>
        <v>0</v>
      </c>
      <c r="J459" s="5">
        <f t="shared" si="539"/>
        <v>0</v>
      </c>
      <c r="K459" s="5">
        <f t="shared" si="554"/>
        <v>0</v>
      </c>
      <c r="L459" s="5">
        <f t="shared" si="555"/>
        <v>0</v>
      </c>
      <c r="M459" s="199"/>
      <c r="N459" s="16">
        <f t="shared" ca="1" si="556"/>
        <v>25</v>
      </c>
      <c r="O459" s="508">
        <f t="shared" ca="1" si="540"/>
        <v>290</v>
      </c>
      <c r="P459" s="16">
        <f t="shared" ca="1" si="541"/>
        <v>25</v>
      </c>
      <c r="Q459" s="17">
        <f t="shared" si="615"/>
        <v>10</v>
      </c>
      <c r="R459" s="18">
        <f t="shared" si="573"/>
        <v>53236</v>
      </c>
      <c r="S459" s="10">
        <f t="shared" si="557"/>
        <v>0.04</v>
      </c>
      <c r="T459" s="14">
        <f t="shared" ca="1" si="558"/>
        <v>255</v>
      </c>
      <c r="U459" s="5">
        <f t="shared" ca="1" si="559"/>
        <v>212863.35807938589</v>
      </c>
      <c r="V459" s="5">
        <f t="shared" ca="1" si="542"/>
        <v>-2387.0764773272967</v>
      </c>
      <c r="W459" s="5">
        <f t="shared" ca="1" si="543"/>
        <v>-709.54452693128633</v>
      </c>
      <c r="X459" s="5">
        <f t="shared" ca="1" si="560"/>
        <v>-1677.5319503960104</v>
      </c>
      <c r="Y459" s="5">
        <f t="shared" ca="1" si="561"/>
        <v>211185.82612898987</v>
      </c>
      <c r="Z459" s="199"/>
      <c r="AA459" s="16">
        <f t="shared" ca="1" si="549"/>
        <v>37</v>
      </c>
      <c r="AB459" s="508">
        <f t="shared" ca="1" si="544"/>
        <v>441</v>
      </c>
      <c r="AC459" s="16">
        <f t="shared" si="619"/>
        <v>37</v>
      </c>
      <c r="AD459" s="17">
        <f t="shared" si="616"/>
        <v>10</v>
      </c>
      <c r="AE459" s="18">
        <f t="shared" ca="1" si="575"/>
        <v>57831</v>
      </c>
      <c r="AF459" s="10">
        <f>IF(Dashboard!$R$24="Float",AF458+Dashboard!$R$24/12,AF458)</f>
        <v>0.06</v>
      </c>
      <c r="AG459" s="14">
        <f t="shared" si="562"/>
        <v>442</v>
      </c>
      <c r="AH459" s="5">
        <f t="shared" si="563"/>
        <v>0</v>
      </c>
      <c r="AI459" s="5">
        <f t="shared" si="546"/>
        <v>0</v>
      </c>
      <c r="AJ459" s="5">
        <f t="shared" si="547"/>
        <v>0</v>
      </c>
      <c r="AK459" s="5">
        <f t="shared" si="564"/>
        <v>0</v>
      </c>
      <c r="AL459" s="5">
        <f t="shared" si="565"/>
        <v>0</v>
      </c>
      <c r="AM459" s="199"/>
      <c r="AN459" s="16">
        <f t="shared" si="620"/>
        <v>38</v>
      </c>
      <c r="AO459" s="17">
        <f t="shared" si="617"/>
        <v>10</v>
      </c>
      <c r="AP459" s="18">
        <f t="shared" ca="1" si="577"/>
        <v>57831</v>
      </c>
      <c r="AQ459" s="10">
        <f>IF(Dashboard!$S$20="Float",AQ458+Dashboard!$T$20/12,AQ458)</f>
        <v>4.4999999999999998E-2</v>
      </c>
      <c r="AR459" s="14">
        <f t="shared" si="566"/>
        <v>442</v>
      </c>
      <c r="AS459" s="5">
        <f t="shared" si="567"/>
        <v>-3.4486957518507271E-10</v>
      </c>
      <c r="AT459" s="5">
        <f t="shared" si="550"/>
        <v>-3.6516212276183074E-12</v>
      </c>
      <c r="AU459" s="5">
        <f t="shared" si="551"/>
        <v>1.2932609069440227E-12</v>
      </c>
      <c r="AV459" s="5">
        <f t="shared" si="568"/>
        <v>-4.9448821345623301E-12</v>
      </c>
      <c r="AW459" s="5">
        <f t="shared" si="569"/>
        <v>-3.4981445731963503E-10</v>
      </c>
      <c r="AX459" s="199"/>
    </row>
    <row r="460" spans="1:50">
      <c r="A460" s="73"/>
      <c r="B460" s="572"/>
      <c r="C460" s="16">
        <f t="shared" si="618"/>
        <v>37</v>
      </c>
      <c r="D460" s="17">
        <f t="shared" si="614"/>
        <v>11</v>
      </c>
      <c r="E460" s="18">
        <f t="shared" ca="1" si="571"/>
        <v>57862</v>
      </c>
      <c r="F460" s="10">
        <f>IF(Dashboard!$Q$5="Float",F459+Dashboard!$R$5/12,F459)</f>
        <v>0.04</v>
      </c>
      <c r="G460" s="14">
        <f t="shared" si="552"/>
        <v>443</v>
      </c>
      <c r="H460" s="5">
        <f t="shared" si="553"/>
        <v>0</v>
      </c>
      <c r="I460" s="5">
        <f t="shared" si="538"/>
        <v>0</v>
      </c>
      <c r="J460" s="5">
        <f t="shared" si="539"/>
        <v>0</v>
      </c>
      <c r="K460" s="5">
        <f t="shared" si="554"/>
        <v>0</v>
      </c>
      <c r="L460" s="5">
        <f t="shared" si="555"/>
        <v>0</v>
      </c>
      <c r="M460" s="199"/>
      <c r="N460" s="16">
        <f t="shared" ca="1" si="556"/>
        <v>25</v>
      </c>
      <c r="O460" s="508">
        <f t="shared" ca="1" si="540"/>
        <v>291</v>
      </c>
      <c r="P460" s="16">
        <f t="shared" ca="1" si="541"/>
        <v>25</v>
      </c>
      <c r="Q460" s="17">
        <f t="shared" si="615"/>
        <v>11</v>
      </c>
      <c r="R460" s="18">
        <f t="shared" si="573"/>
        <v>53267</v>
      </c>
      <c r="S460" s="10">
        <f t="shared" si="557"/>
        <v>0.04</v>
      </c>
      <c r="T460" s="14">
        <f t="shared" ca="1" si="558"/>
        <v>256</v>
      </c>
      <c r="U460" s="5">
        <f t="shared" ca="1" si="559"/>
        <v>211185.82612898987</v>
      </c>
      <c r="V460" s="5">
        <f t="shared" ca="1" si="542"/>
        <v>-2387.0764773272963</v>
      </c>
      <c r="W460" s="5">
        <f t="shared" ca="1" si="543"/>
        <v>-703.95275376329948</v>
      </c>
      <c r="X460" s="5">
        <f t="shared" ca="1" si="560"/>
        <v>-1683.1237235639969</v>
      </c>
      <c r="Y460" s="5">
        <f t="shared" ca="1" si="561"/>
        <v>209502.70240542587</v>
      </c>
      <c r="Z460" s="199"/>
      <c r="AA460" s="16">
        <f t="shared" ca="1" si="549"/>
        <v>37</v>
      </c>
      <c r="AB460" s="508">
        <f t="shared" ca="1" si="544"/>
        <v>442</v>
      </c>
      <c r="AC460" s="16">
        <f t="shared" si="619"/>
        <v>37</v>
      </c>
      <c r="AD460" s="17">
        <f t="shared" si="616"/>
        <v>11</v>
      </c>
      <c r="AE460" s="18">
        <f t="shared" ca="1" si="575"/>
        <v>57862</v>
      </c>
      <c r="AF460" s="10">
        <f>IF(Dashboard!$R$24="Float",AF459+Dashboard!$R$24/12,AF459)</f>
        <v>0.06</v>
      </c>
      <c r="AG460" s="14">
        <f t="shared" si="562"/>
        <v>443</v>
      </c>
      <c r="AH460" s="5">
        <f t="shared" si="563"/>
        <v>0</v>
      </c>
      <c r="AI460" s="5">
        <f t="shared" si="546"/>
        <v>0</v>
      </c>
      <c r="AJ460" s="5">
        <f t="shared" si="547"/>
        <v>0</v>
      </c>
      <c r="AK460" s="5">
        <f t="shared" si="564"/>
        <v>0</v>
      </c>
      <c r="AL460" s="5">
        <f t="shared" si="565"/>
        <v>0</v>
      </c>
      <c r="AM460" s="199"/>
      <c r="AN460" s="16">
        <f t="shared" si="620"/>
        <v>38</v>
      </c>
      <c r="AO460" s="17">
        <f t="shared" si="617"/>
        <v>11</v>
      </c>
      <c r="AP460" s="18">
        <f t="shared" ca="1" si="577"/>
        <v>57862</v>
      </c>
      <c r="AQ460" s="10">
        <f>IF(Dashboard!$S$20="Float",AQ459+Dashboard!$T$20/12,AQ459)</f>
        <v>4.4999999999999998E-2</v>
      </c>
      <c r="AR460" s="14">
        <f t="shared" si="566"/>
        <v>443</v>
      </c>
      <c r="AS460" s="5">
        <f t="shared" si="567"/>
        <v>-3.4981445731963503E-10</v>
      </c>
      <c r="AT460" s="5">
        <f t="shared" si="550"/>
        <v>-3.6516212276183074E-12</v>
      </c>
      <c r="AU460" s="5">
        <f t="shared" si="551"/>
        <v>1.3118042149486312E-12</v>
      </c>
      <c r="AV460" s="5">
        <f t="shared" si="568"/>
        <v>-4.9634254425669386E-12</v>
      </c>
      <c r="AW460" s="5">
        <f t="shared" si="569"/>
        <v>-3.5477788276220195E-10</v>
      </c>
      <c r="AX460" s="199"/>
    </row>
    <row r="461" spans="1:50">
      <c r="A461" s="73"/>
      <c r="B461" s="572"/>
      <c r="C461" s="16">
        <f t="shared" si="618"/>
        <v>37</v>
      </c>
      <c r="D461" s="17">
        <f t="shared" si="614"/>
        <v>12</v>
      </c>
      <c r="E461" s="18">
        <f t="shared" ca="1" si="571"/>
        <v>57892</v>
      </c>
      <c r="F461" s="10">
        <f>IF(Dashboard!$Q$5="Float",F460+Dashboard!$R$5/12,F460)</f>
        <v>0.04</v>
      </c>
      <c r="G461" s="14">
        <f t="shared" si="552"/>
        <v>444</v>
      </c>
      <c r="H461" s="5">
        <f t="shared" si="553"/>
        <v>0</v>
      </c>
      <c r="I461" s="5">
        <f t="shared" si="538"/>
        <v>0</v>
      </c>
      <c r="J461" s="5">
        <f t="shared" si="539"/>
        <v>0</v>
      </c>
      <c r="K461" s="5">
        <f t="shared" si="554"/>
        <v>0</v>
      </c>
      <c r="L461" s="5">
        <f t="shared" si="555"/>
        <v>0</v>
      </c>
      <c r="M461" s="199"/>
      <c r="N461" s="16">
        <f t="shared" ca="1" si="556"/>
        <v>25</v>
      </c>
      <c r="O461" s="508">
        <f t="shared" ca="1" si="540"/>
        <v>292</v>
      </c>
      <c r="P461" s="16">
        <f t="shared" ca="1" si="541"/>
        <v>25</v>
      </c>
      <c r="Q461" s="17">
        <f t="shared" si="615"/>
        <v>12</v>
      </c>
      <c r="R461" s="18">
        <f t="shared" si="573"/>
        <v>53297</v>
      </c>
      <c r="S461" s="10">
        <f t="shared" si="557"/>
        <v>0.04</v>
      </c>
      <c r="T461" s="14">
        <f t="shared" ca="1" si="558"/>
        <v>257</v>
      </c>
      <c r="U461" s="5">
        <f t="shared" ca="1" si="559"/>
        <v>209502.70240542587</v>
      </c>
      <c r="V461" s="5">
        <f t="shared" ca="1" si="542"/>
        <v>-2387.0764773272963</v>
      </c>
      <c r="W461" s="5">
        <f t="shared" ca="1" si="543"/>
        <v>-698.34234135141958</v>
      </c>
      <c r="X461" s="5">
        <f t="shared" ca="1" si="560"/>
        <v>-1688.7341359758766</v>
      </c>
      <c r="Y461" s="5">
        <f t="shared" ca="1" si="561"/>
        <v>207813.96826944998</v>
      </c>
      <c r="Z461" s="199"/>
      <c r="AA461" s="16">
        <f t="shared" ca="1" si="549"/>
        <v>37</v>
      </c>
      <c r="AB461" s="508">
        <f t="shared" ca="1" si="544"/>
        <v>443</v>
      </c>
      <c r="AC461" s="16">
        <f t="shared" si="619"/>
        <v>37</v>
      </c>
      <c r="AD461" s="17">
        <f t="shared" si="616"/>
        <v>12</v>
      </c>
      <c r="AE461" s="18">
        <f t="shared" ca="1" si="575"/>
        <v>57892</v>
      </c>
      <c r="AF461" s="10">
        <f>IF(Dashboard!$R$24="Float",AF460+Dashboard!$R$24/12,AF460)</f>
        <v>0.06</v>
      </c>
      <c r="AG461" s="14">
        <f t="shared" si="562"/>
        <v>444</v>
      </c>
      <c r="AH461" s="5">
        <f t="shared" si="563"/>
        <v>0</v>
      </c>
      <c r="AI461" s="5">
        <f t="shared" si="546"/>
        <v>0</v>
      </c>
      <c r="AJ461" s="5">
        <f t="shared" si="547"/>
        <v>0</v>
      </c>
      <c r="AK461" s="5">
        <f t="shared" si="564"/>
        <v>0</v>
      </c>
      <c r="AL461" s="5">
        <f t="shared" si="565"/>
        <v>0</v>
      </c>
      <c r="AM461" s="199"/>
      <c r="AN461" s="16">
        <f t="shared" si="620"/>
        <v>38</v>
      </c>
      <c r="AO461" s="17">
        <f t="shared" si="617"/>
        <v>12</v>
      </c>
      <c r="AP461" s="18">
        <f t="shared" ca="1" si="577"/>
        <v>57892</v>
      </c>
      <c r="AQ461" s="10">
        <f>IF(Dashboard!$S$20="Float",AQ460+Dashboard!$T$20/12,AQ460)</f>
        <v>4.4999999999999998E-2</v>
      </c>
      <c r="AR461" s="14">
        <f t="shared" si="566"/>
        <v>444</v>
      </c>
      <c r="AS461" s="5">
        <f t="shared" si="567"/>
        <v>-3.5477788276220195E-10</v>
      </c>
      <c r="AT461" s="5">
        <f t="shared" si="550"/>
        <v>-3.6516212276183082E-12</v>
      </c>
      <c r="AU461" s="5">
        <f t="shared" si="551"/>
        <v>1.3304170603582572E-12</v>
      </c>
      <c r="AV461" s="5">
        <f t="shared" si="568"/>
        <v>-4.9820382879765654E-12</v>
      </c>
      <c r="AW461" s="5">
        <f t="shared" si="569"/>
        <v>-3.5975992105017854E-10</v>
      </c>
      <c r="AX461" s="199"/>
    </row>
    <row r="462" spans="1:50" ht="12.75" customHeight="1">
      <c r="A462" s="73"/>
      <c r="B462" s="570">
        <f>+C462</f>
        <v>38</v>
      </c>
      <c r="C462" s="200">
        <f t="shared" ref="C462" si="621">+C461+1</f>
        <v>38</v>
      </c>
      <c r="D462" s="201">
        <v>1</v>
      </c>
      <c r="E462" s="202">
        <f t="shared" ca="1" si="571"/>
        <v>57923</v>
      </c>
      <c r="F462" s="203">
        <f>IF(Dashboard!$Q$5="Float",F461+Dashboard!$R$5/12,F461)</f>
        <v>0.04</v>
      </c>
      <c r="G462" s="204">
        <f t="shared" si="552"/>
        <v>445</v>
      </c>
      <c r="H462" s="205">
        <f t="shared" si="553"/>
        <v>0</v>
      </c>
      <c r="I462" s="205">
        <f t="shared" si="538"/>
        <v>0</v>
      </c>
      <c r="J462" s="205">
        <f t="shared" si="539"/>
        <v>0</v>
      </c>
      <c r="K462" s="205">
        <f t="shared" si="554"/>
        <v>0</v>
      </c>
      <c r="L462" s="205">
        <f t="shared" si="555"/>
        <v>0</v>
      </c>
      <c r="M462" s="199"/>
      <c r="N462" s="200">
        <f t="shared" ca="1" si="556"/>
        <v>25</v>
      </c>
      <c r="O462" s="509">
        <f t="shared" ca="1" si="540"/>
        <v>293</v>
      </c>
      <c r="P462" s="200">
        <f t="shared" ca="1" si="541"/>
        <v>25</v>
      </c>
      <c r="Q462" s="201">
        <v>1</v>
      </c>
      <c r="R462" s="202">
        <f t="shared" si="573"/>
        <v>53328</v>
      </c>
      <c r="S462" s="203">
        <f t="shared" si="557"/>
        <v>0.04</v>
      </c>
      <c r="T462" s="204">
        <f t="shared" ca="1" si="558"/>
        <v>258</v>
      </c>
      <c r="U462" s="205">
        <f t="shared" ca="1" si="559"/>
        <v>207813.96826944998</v>
      </c>
      <c r="V462" s="205">
        <f t="shared" ca="1" si="542"/>
        <v>-2387.0764773272963</v>
      </c>
      <c r="W462" s="205">
        <f t="shared" ca="1" si="543"/>
        <v>-692.71322756483323</v>
      </c>
      <c r="X462" s="205">
        <f t="shared" ca="1" si="560"/>
        <v>-1694.3632497624631</v>
      </c>
      <c r="Y462" s="205">
        <f t="shared" ca="1" si="561"/>
        <v>206119.60501968753</v>
      </c>
      <c r="Z462" s="199"/>
      <c r="AA462" s="200">
        <f t="shared" ca="1" si="549"/>
        <v>37</v>
      </c>
      <c r="AB462" s="509">
        <f t="shared" ca="1" si="544"/>
        <v>444</v>
      </c>
      <c r="AC462" s="200">
        <f t="shared" ref="AC462" si="622">+AC461+1</f>
        <v>38</v>
      </c>
      <c r="AD462" s="201">
        <v>1</v>
      </c>
      <c r="AE462" s="202">
        <f t="shared" ca="1" si="575"/>
        <v>57923</v>
      </c>
      <c r="AF462" s="203">
        <f>IF(Dashboard!$R$24="Float",AF461+Dashboard!$R$24/12,AF461)</f>
        <v>0.06</v>
      </c>
      <c r="AG462" s="204">
        <f t="shared" si="562"/>
        <v>445</v>
      </c>
      <c r="AH462" s="205">
        <f t="shared" si="563"/>
        <v>0</v>
      </c>
      <c r="AI462" s="205">
        <f t="shared" si="546"/>
        <v>0</v>
      </c>
      <c r="AJ462" s="205">
        <f t="shared" si="547"/>
        <v>0</v>
      </c>
      <c r="AK462" s="205">
        <f t="shared" si="564"/>
        <v>0</v>
      </c>
      <c r="AL462" s="205">
        <f t="shared" si="565"/>
        <v>0</v>
      </c>
      <c r="AM462" s="199"/>
      <c r="AN462" s="200">
        <f t="shared" ref="AN462" si="623">+AN461+1</f>
        <v>39</v>
      </c>
      <c r="AO462" s="201">
        <v>1</v>
      </c>
      <c r="AP462" s="202">
        <f t="shared" ca="1" si="577"/>
        <v>57923</v>
      </c>
      <c r="AQ462" s="203">
        <f>IF(Dashboard!$S$20="Float",AQ461+Dashboard!$T$20/12,AQ461)</f>
        <v>4.4999999999999998E-2</v>
      </c>
      <c r="AR462" s="204">
        <f t="shared" si="566"/>
        <v>445</v>
      </c>
      <c r="AS462" s="205">
        <f t="shared" si="567"/>
        <v>-3.5975992105017854E-10</v>
      </c>
      <c r="AT462" s="205">
        <f t="shared" si="550"/>
        <v>-3.6516212276183082E-12</v>
      </c>
      <c r="AU462" s="205">
        <f t="shared" si="551"/>
        <v>1.3490997039381693E-12</v>
      </c>
      <c r="AV462" s="205">
        <f t="shared" si="568"/>
        <v>-5.0007209315564773E-12</v>
      </c>
      <c r="AW462" s="205">
        <f t="shared" si="569"/>
        <v>-3.6476064198173501E-10</v>
      </c>
      <c r="AX462" s="199"/>
    </row>
    <row r="463" spans="1:50">
      <c r="A463" s="73"/>
      <c r="B463" s="570"/>
      <c r="C463" s="200">
        <f>+C462</f>
        <v>38</v>
      </c>
      <c r="D463" s="201">
        <f>+D462+1</f>
        <v>2</v>
      </c>
      <c r="E463" s="202">
        <f t="shared" ca="1" si="571"/>
        <v>57954</v>
      </c>
      <c r="F463" s="203">
        <f>IF(Dashboard!$Q$5="Float",F462+Dashboard!$R$5/12,F462)</f>
        <v>0.04</v>
      </c>
      <c r="G463" s="204">
        <f t="shared" si="552"/>
        <v>446</v>
      </c>
      <c r="H463" s="205">
        <f t="shared" si="553"/>
        <v>0</v>
      </c>
      <c r="I463" s="205">
        <f t="shared" si="538"/>
        <v>0</v>
      </c>
      <c r="J463" s="205">
        <f t="shared" si="539"/>
        <v>0</v>
      </c>
      <c r="K463" s="205">
        <f t="shared" si="554"/>
        <v>0</v>
      </c>
      <c r="L463" s="205">
        <f t="shared" si="555"/>
        <v>0</v>
      </c>
      <c r="M463" s="199"/>
      <c r="N463" s="200">
        <f t="shared" ca="1" si="556"/>
        <v>25</v>
      </c>
      <c r="O463" s="509">
        <f t="shared" ca="1" si="540"/>
        <v>294</v>
      </c>
      <c r="P463" s="200">
        <f t="shared" ca="1" si="541"/>
        <v>25</v>
      </c>
      <c r="Q463" s="201">
        <f>+Q462+1</f>
        <v>2</v>
      </c>
      <c r="R463" s="202">
        <f t="shared" si="573"/>
        <v>53359</v>
      </c>
      <c r="S463" s="203">
        <f t="shared" si="557"/>
        <v>0.04</v>
      </c>
      <c r="T463" s="204">
        <f t="shared" ca="1" si="558"/>
        <v>259</v>
      </c>
      <c r="U463" s="205">
        <f t="shared" ca="1" si="559"/>
        <v>206119.60501968753</v>
      </c>
      <c r="V463" s="205">
        <f t="shared" ca="1" si="542"/>
        <v>-2387.0764773272963</v>
      </c>
      <c r="W463" s="205">
        <f t="shared" ca="1" si="543"/>
        <v>-687.06535006562501</v>
      </c>
      <c r="X463" s="205">
        <f t="shared" ca="1" si="560"/>
        <v>-1700.0111272616714</v>
      </c>
      <c r="Y463" s="205">
        <f t="shared" ca="1" si="561"/>
        <v>204419.59389242585</v>
      </c>
      <c r="Z463" s="199"/>
      <c r="AA463" s="200">
        <f t="shared" ca="1" si="549"/>
        <v>38</v>
      </c>
      <c r="AB463" s="509">
        <f t="shared" ca="1" si="544"/>
        <v>445</v>
      </c>
      <c r="AC463" s="200">
        <f>+AC462</f>
        <v>38</v>
      </c>
      <c r="AD463" s="201">
        <f>+AD462+1</f>
        <v>2</v>
      </c>
      <c r="AE463" s="202">
        <f t="shared" ca="1" si="575"/>
        <v>57954</v>
      </c>
      <c r="AF463" s="203">
        <f>IF(Dashboard!$R$24="Float",AF462+Dashboard!$R$24/12,AF462)</f>
        <v>0.06</v>
      </c>
      <c r="AG463" s="204">
        <f t="shared" si="562"/>
        <v>446</v>
      </c>
      <c r="AH463" s="205">
        <f t="shared" si="563"/>
        <v>0</v>
      </c>
      <c r="AI463" s="205">
        <f t="shared" si="546"/>
        <v>0</v>
      </c>
      <c r="AJ463" s="205">
        <f t="shared" si="547"/>
        <v>0</v>
      </c>
      <c r="AK463" s="205">
        <f t="shared" si="564"/>
        <v>0</v>
      </c>
      <c r="AL463" s="205">
        <f t="shared" si="565"/>
        <v>0</v>
      </c>
      <c r="AM463" s="199"/>
      <c r="AN463" s="200">
        <f>+AN462</f>
        <v>39</v>
      </c>
      <c r="AO463" s="201">
        <f>+AO462+1</f>
        <v>2</v>
      </c>
      <c r="AP463" s="202">
        <f t="shared" ca="1" si="577"/>
        <v>57954</v>
      </c>
      <c r="AQ463" s="203">
        <f>IF(Dashboard!$S$20="Float",AQ462+Dashboard!$T$20/12,AQ462)</f>
        <v>4.4999999999999998E-2</v>
      </c>
      <c r="AR463" s="204">
        <f t="shared" si="566"/>
        <v>446</v>
      </c>
      <c r="AS463" s="205">
        <f t="shared" si="567"/>
        <v>-3.6476064198173501E-10</v>
      </c>
      <c r="AT463" s="205">
        <f t="shared" si="550"/>
        <v>-3.6516212276183082E-12</v>
      </c>
      <c r="AU463" s="205">
        <f t="shared" si="551"/>
        <v>1.3678524074315062E-12</v>
      </c>
      <c r="AV463" s="205">
        <f t="shared" si="568"/>
        <v>-5.0194736350498146E-12</v>
      </c>
      <c r="AW463" s="205">
        <f t="shared" si="569"/>
        <v>-3.6978011561678483E-10</v>
      </c>
      <c r="AX463" s="199"/>
    </row>
    <row r="464" spans="1:50">
      <c r="A464" s="73"/>
      <c r="B464" s="570"/>
      <c r="C464" s="200">
        <f>+C463</f>
        <v>38</v>
      </c>
      <c r="D464" s="201">
        <f>+D463+1</f>
        <v>3</v>
      </c>
      <c r="E464" s="202">
        <f t="shared" ca="1" si="571"/>
        <v>57984</v>
      </c>
      <c r="F464" s="203">
        <f>IF(Dashboard!$Q$5="Float",F463+Dashboard!$R$5/12,F463)</f>
        <v>0.04</v>
      </c>
      <c r="G464" s="204">
        <f t="shared" si="552"/>
        <v>447</v>
      </c>
      <c r="H464" s="205">
        <f t="shared" si="553"/>
        <v>0</v>
      </c>
      <c r="I464" s="205">
        <f t="shared" si="538"/>
        <v>0</v>
      </c>
      <c r="J464" s="205">
        <f t="shared" si="539"/>
        <v>0</v>
      </c>
      <c r="K464" s="205">
        <f t="shared" si="554"/>
        <v>0</v>
      </c>
      <c r="L464" s="205">
        <f t="shared" si="555"/>
        <v>0</v>
      </c>
      <c r="M464" s="199"/>
      <c r="N464" s="200">
        <f t="shared" ca="1" si="556"/>
        <v>25</v>
      </c>
      <c r="O464" s="509">
        <f t="shared" ca="1" si="540"/>
        <v>295</v>
      </c>
      <c r="P464" s="200">
        <f t="shared" ca="1" si="541"/>
        <v>25</v>
      </c>
      <c r="Q464" s="201">
        <f>+Q463+1</f>
        <v>3</v>
      </c>
      <c r="R464" s="202">
        <f t="shared" si="573"/>
        <v>53387</v>
      </c>
      <c r="S464" s="203">
        <f t="shared" si="557"/>
        <v>0.04</v>
      </c>
      <c r="T464" s="204">
        <f t="shared" ca="1" si="558"/>
        <v>260</v>
      </c>
      <c r="U464" s="205">
        <f t="shared" ca="1" si="559"/>
        <v>204419.59389242585</v>
      </c>
      <c r="V464" s="205">
        <f t="shared" ca="1" si="542"/>
        <v>-2387.0764773272963</v>
      </c>
      <c r="W464" s="205">
        <f t="shared" ca="1" si="543"/>
        <v>-681.3986463080862</v>
      </c>
      <c r="X464" s="205">
        <f t="shared" ca="1" si="560"/>
        <v>-1705.6778310192101</v>
      </c>
      <c r="Y464" s="205">
        <f t="shared" ca="1" si="561"/>
        <v>202713.91606140663</v>
      </c>
      <c r="Z464" s="199"/>
      <c r="AA464" s="200">
        <f t="shared" ca="1" si="549"/>
        <v>38</v>
      </c>
      <c r="AB464" s="509">
        <f t="shared" ca="1" si="544"/>
        <v>446</v>
      </c>
      <c r="AC464" s="200">
        <f>+AC463</f>
        <v>38</v>
      </c>
      <c r="AD464" s="201">
        <f>+AD463+1</f>
        <v>3</v>
      </c>
      <c r="AE464" s="202">
        <f t="shared" ca="1" si="575"/>
        <v>57984</v>
      </c>
      <c r="AF464" s="203">
        <f>IF(Dashboard!$R$24="Float",AF463+Dashboard!$R$24/12,AF463)</f>
        <v>0.06</v>
      </c>
      <c r="AG464" s="204">
        <f t="shared" si="562"/>
        <v>447</v>
      </c>
      <c r="AH464" s="205">
        <f t="shared" si="563"/>
        <v>0</v>
      </c>
      <c r="AI464" s="205">
        <f t="shared" si="546"/>
        <v>0</v>
      </c>
      <c r="AJ464" s="205">
        <f t="shared" si="547"/>
        <v>0</v>
      </c>
      <c r="AK464" s="205">
        <f t="shared" si="564"/>
        <v>0</v>
      </c>
      <c r="AL464" s="205">
        <f t="shared" si="565"/>
        <v>0</v>
      </c>
      <c r="AM464" s="199"/>
      <c r="AN464" s="200">
        <f>+AN463</f>
        <v>39</v>
      </c>
      <c r="AO464" s="201">
        <f>+AO463+1</f>
        <v>3</v>
      </c>
      <c r="AP464" s="202">
        <f t="shared" ca="1" si="577"/>
        <v>57984</v>
      </c>
      <c r="AQ464" s="203">
        <f>IF(Dashboard!$S$20="Float",AQ463+Dashboard!$T$20/12,AQ463)</f>
        <v>4.4999999999999998E-2</v>
      </c>
      <c r="AR464" s="204">
        <f t="shared" si="566"/>
        <v>447</v>
      </c>
      <c r="AS464" s="205">
        <f t="shared" si="567"/>
        <v>-3.6978011561678483E-10</v>
      </c>
      <c r="AT464" s="205">
        <f t="shared" si="550"/>
        <v>-3.6516212276183074E-12</v>
      </c>
      <c r="AU464" s="205">
        <f t="shared" si="551"/>
        <v>1.3866754335629429E-12</v>
      </c>
      <c r="AV464" s="205">
        <f t="shared" si="568"/>
        <v>-5.0382966611812501E-12</v>
      </c>
      <c r="AW464" s="205">
        <f t="shared" si="569"/>
        <v>-3.7481841227796608E-10</v>
      </c>
      <c r="AX464" s="199"/>
    </row>
    <row r="465" spans="1:50">
      <c r="A465" s="73"/>
      <c r="B465" s="570"/>
      <c r="C465" s="200">
        <f>+C464</f>
        <v>38</v>
      </c>
      <c r="D465" s="201">
        <f t="shared" ref="D465:D473" si="624">+D464+1</f>
        <v>4</v>
      </c>
      <c r="E465" s="202">
        <f t="shared" ca="1" si="571"/>
        <v>58015</v>
      </c>
      <c r="F465" s="203">
        <f>IF(Dashboard!$Q$5="Float",F464+Dashboard!$R$5/12,F464)</f>
        <v>0.04</v>
      </c>
      <c r="G465" s="204">
        <f t="shared" si="552"/>
        <v>448</v>
      </c>
      <c r="H465" s="205">
        <f t="shared" si="553"/>
        <v>0</v>
      </c>
      <c r="I465" s="205">
        <f t="shared" si="538"/>
        <v>0</v>
      </c>
      <c r="J465" s="205">
        <f t="shared" si="539"/>
        <v>0</v>
      </c>
      <c r="K465" s="205">
        <f t="shared" si="554"/>
        <v>0</v>
      </c>
      <c r="L465" s="205">
        <f t="shared" si="555"/>
        <v>0</v>
      </c>
      <c r="M465" s="199"/>
      <c r="N465" s="200">
        <f t="shared" ca="1" si="556"/>
        <v>25</v>
      </c>
      <c r="O465" s="509">
        <f t="shared" ca="1" si="540"/>
        <v>296</v>
      </c>
      <c r="P465" s="200">
        <f t="shared" ca="1" si="541"/>
        <v>25</v>
      </c>
      <c r="Q465" s="201">
        <f t="shared" ref="Q465:Q473" si="625">+Q464+1</f>
        <v>4</v>
      </c>
      <c r="R465" s="202">
        <f t="shared" si="573"/>
        <v>53418</v>
      </c>
      <c r="S465" s="203">
        <f t="shared" si="557"/>
        <v>0.04</v>
      </c>
      <c r="T465" s="204">
        <f t="shared" ca="1" si="558"/>
        <v>261</v>
      </c>
      <c r="U465" s="205">
        <f t="shared" ca="1" si="559"/>
        <v>202713.91606140663</v>
      </c>
      <c r="V465" s="205">
        <f t="shared" ca="1" si="542"/>
        <v>-2387.0764773272963</v>
      </c>
      <c r="W465" s="205">
        <f t="shared" ca="1" si="543"/>
        <v>-675.71305353802211</v>
      </c>
      <c r="X465" s="205">
        <f t="shared" ca="1" si="560"/>
        <v>-1711.3634237892743</v>
      </c>
      <c r="Y465" s="205">
        <f t="shared" ca="1" si="561"/>
        <v>201002.55263761737</v>
      </c>
      <c r="Z465" s="199"/>
      <c r="AA465" s="200">
        <f t="shared" ca="1" si="549"/>
        <v>38</v>
      </c>
      <c r="AB465" s="509">
        <f t="shared" ca="1" si="544"/>
        <v>447</v>
      </c>
      <c r="AC465" s="200">
        <f>+AC464</f>
        <v>38</v>
      </c>
      <c r="AD465" s="201">
        <f t="shared" ref="AD465:AD473" si="626">+AD464+1</f>
        <v>4</v>
      </c>
      <c r="AE465" s="202">
        <f t="shared" ca="1" si="575"/>
        <v>58015</v>
      </c>
      <c r="AF465" s="203">
        <f>IF(Dashboard!$R$24="Float",AF464+Dashboard!$R$24/12,AF464)</f>
        <v>0.06</v>
      </c>
      <c r="AG465" s="204">
        <f t="shared" si="562"/>
        <v>448</v>
      </c>
      <c r="AH465" s="205">
        <f t="shared" si="563"/>
        <v>0</v>
      </c>
      <c r="AI465" s="205">
        <f t="shared" si="546"/>
        <v>0</v>
      </c>
      <c r="AJ465" s="205">
        <f t="shared" si="547"/>
        <v>0</v>
      </c>
      <c r="AK465" s="205">
        <f t="shared" si="564"/>
        <v>0</v>
      </c>
      <c r="AL465" s="205">
        <f t="shared" si="565"/>
        <v>0</v>
      </c>
      <c r="AM465" s="199"/>
      <c r="AN465" s="200">
        <f>+AN464</f>
        <v>39</v>
      </c>
      <c r="AO465" s="201">
        <f t="shared" ref="AO465:AO473" si="627">+AO464+1</f>
        <v>4</v>
      </c>
      <c r="AP465" s="202">
        <f t="shared" ca="1" si="577"/>
        <v>58015</v>
      </c>
      <c r="AQ465" s="203">
        <f>IF(Dashboard!$S$20="Float",AQ464+Dashboard!$T$20/12,AQ464)</f>
        <v>4.4999999999999998E-2</v>
      </c>
      <c r="AR465" s="204">
        <f t="shared" si="566"/>
        <v>448</v>
      </c>
      <c r="AS465" s="205">
        <f t="shared" si="567"/>
        <v>-3.7481841227796608E-10</v>
      </c>
      <c r="AT465" s="205">
        <f t="shared" si="550"/>
        <v>-3.6516212276183074E-12</v>
      </c>
      <c r="AU465" s="205">
        <f t="shared" si="551"/>
        <v>1.4055690460423726E-12</v>
      </c>
      <c r="AV465" s="205">
        <f t="shared" si="568"/>
        <v>-5.0571902736606798E-12</v>
      </c>
      <c r="AW465" s="205">
        <f t="shared" si="569"/>
        <v>-3.7987560255162676E-10</v>
      </c>
      <c r="AX465" s="199"/>
    </row>
    <row r="466" spans="1:50">
      <c r="A466" s="73"/>
      <c r="B466" s="570"/>
      <c r="C466" s="200">
        <f t="shared" ref="C466:C473" si="628">+C465</f>
        <v>38</v>
      </c>
      <c r="D466" s="201">
        <f t="shared" si="624"/>
        <v>5</v>
      </c>
      <c r="E466" s="202">
        <f t="shared" ca="1" si="571"/>
        <v>58045</v>
      </c>
      <c r="F466" s="203">
        <f>IF(Dashboard!$Q$5="Float",F465+Dashboard!$R$5/12,F465)</f>
        <v>0.04</v>
      </c>
      <c r="G466" s="204">
        <f t="shared" si="552"/>
        <v>449</v>
      </c>
      <c r="H466" s="205">
        <f t="shared" si="553"/>
        <v>0</v>
      </c>
      <c r="I466" s="205">
        <f t="shared" ref="I466:I497" si="629">+IFERROR(IF(C466&gt;D$6,PMT(LOOKUP(C466,$C$18:$C$497,F$18:F$497)/12,D$5+1-G466,H466),-H466*LOOKUP(C466,C$18:C$497,F$18:F$497)/12),0)</f>
        <v>0</v>
      </c>
      <c r="J466" s="205">
        <f t="shared" ref="J466:J497" si="630">-H466*LOOKUP(C466,C$18:C$497,F$18:F$497)/12</f>
        <v>0</v>
      </c>
      <c r="K466" s="205">
        <f t="shared" si="554"/>
        <v>0</v>
      </c>
      <c r="L466" s="205">
        <f t="shared" si="555"/>
        <v>0</v>
      </c>
      <c r="M466" s="199"/>
      <c r="N466" s="200">
        <f t="shared" ca="1" si="556"/>
        <v>25</v>
      </c>
      <c r="O466" s="509">
        <f t="shared" ref="O466:O497" ca="1" si="631">+IF(CDate&gt;=$R466,0,IF(O465&gt;0,O465+1,1))</f>
        <v>297</v>
      </c>
      <c r="P466" s="200">
        <f t="shared" ref="P466:P497" ca="1" si="632">+IFERROR(LOOKUP($R466,$E$18:$E$497,$C$18:$C$497),0)</f>
        <v>25</v>
      </c>
      <c r="Q466" s="201">
        <f t="shared" si="625"/>
        <v>5</v>
      </c>
      <c r="R466" s="202">
        <f t="shared" si="573"/>
        <v>53448</v>
      </c>
      <c r="S466" s="203">
        <f t="shared" si="557"/>
        <v>0.04</v>
      </c>
      <c r="T466" s="204">
        <f t="shared" ca="1" si="558"/>
        <v>262</v>
      </c>
      <c r="U466" s="205">
        <f t="shared" ca="1" si="559"/>
        <v>201002.55263761737</v>
      </c>
      <c r="V466" s="205">
        <f t="shared" ref="V466:V497" ca="1" si="633">+IFERROR(IF(P466&gt;Q$6,PMT(LOOKUP(P466,$C$18:$C$497,S$18:S$497)/12,Q$5+1-T466,U466),-U466*LOOKUP(P466,P$18:P$497,S$18:S$497)/12),0)</f>
        <v>-2387.0764773272963</v>
      </c>
      <c r="W466" s="205">
        <f t="shared" ref="W466:W497" ca="1" si="634">-U466*LOOKUP(P466,P$18:P$497,S$18:S$497)/12</f>
        <v>-670.00850879205791</v>
      </c>
      <c r="X466" s="205">
        <f t="shared" ca="1" si="560"/>
        <v>-1717.0679685352384</v>
      </c>
      <c r="Y466" s="205">
        <f t="shared" ca="1" si="561"/>
        <v>199285.48466908213</v>
      </c>
      <c r="Z466" s="199"/>
      <c r="AA466" s="200">
        <f t="shared" ca="1" si="549"/>
        <v>38</v>
      </c>
      <c r="AB466" s="509">
        <f t="shared" ref="AB466:AB497" ca="1" si="635">+IF(CDate&gt;=$AE466,0,IF(AB465&gt;0,AB465+1,1))</f>
        <v>448</v>
      </c>
      <c r="AC466" s="200">
        <f t="shared" ref="AC466:AC473" si="636">+AC465</f>
        <v>38</v>
      </c>
      <c r="AD466" s="201">
        <f t="shared" si="626"/>
        <v>5</v>
      </c>
      <c r="AE466" s="202">
        <f t="shared" ca="1" si="575"/>
        <v>58045</v>
      </c>
      <c r="AF466" s="203">
        <f>IF(Dashboard!$R$24="Float",AF465+Dashboard!$R$24/12,AF465)</f>
        <v>0.06</v>
      </c>
      <c r="AG466" s="204">
        <f t="shared" si="562"/>
        <v>449</v>
      </c>
      <c r="AH466" s="205">
        <f t="shared" si="563"/>
        <v>0</v>
      </c>
      <c r="AI466" s="205">
        <f t="shared" ref="AI466:AI497" si="637">+IFERROR(IF(AC466&gt;AD$6,PMT(LOOKUP(AC466,$C$18:$C$497,AF$18:AF$497)/12,AD$5+1-AG466,AH466),-AH466*LOOKUP(AC466,AC$18:AC$497,AF$18:AF$497)/12),0)</f>
        <v>0</v>
      </c>
      <c r="AJ466" s="205">
        <f t="shared" ref="AJ466:AJ497" si="638">-AH466*LOOKUP(AC466,AC$18:AC$497,AF$18:AF$497)/12</f>
        <v>0</v>
      </c>
      <c r="AK466" s="205">
        <f t="shared" si="564"/>
        <v>0</v>
      </c>
      <c r="AL466" s="205">
        <f t="shared" si="565"/>
        <v>0</v>
      </c>
      <c r="AM466" s="199"/>
      <c r="AN466" s="200">
        <f t="shared" ref="AN466:AN473" si="639">+AN465</f>
        <v>39</v>
      </c>
      <c r="AO466" s="201">
        <f t="shared" si="627"/>
        <v>5</v>
      </c>
      <c r="AP466" s="202">
        <f t="shared" ca="1" si="577"/>
        <v>58045</v>
      </c>
      <c r="AQ466" s="203">
        <f>IF(Dashboard!$S$20="Float",AQ465+Dashboard!$T$20/12,AQ465)</f>
        <v>4.4999999999999998E-2</v>
      </c>
      <c r="AR466" s="204">
        <f t="shared" si="566"/>
        <v>449</v>
      </c>
      <c r="AS466" s="205">
        <f t="shared" si="567"/>
        <v>-3.7987560255162676E-10</v>
      </c>
      <c r="AT466" s="205">
        <f t="shared" si="550"/>
        <v>-3.6516212276183074E-12</v>
      </c>
      <c r="AU466" s="205">
        <f t="shared" si="551"/>
        <v>1.4245335095686003E-12</v>
      </c>
      <c r="AV466" s="205">
        <f t="shared" si="568"/>
        <v>-5.0761547371869079E-12</v>
      </c>
      <c r="AW466" s="205">
        <f t="shared" si="569"/>
        <v>-3.8495175728881368E-10</v>
      </c>
      <c r="AX466" s="199"/>
    </row>
    <row r="467" spans="1:50">
      <c r="A467" s="73"/>
      <c r="B467" s="570"/>
      <c r="C467" s="200">
        <f t="shared" si="628"/>
        <v>38</v>
      </c>
      <c r="D467" s="201">
        <f t="shared" si="624"/>
        <v>6</v>
      </c>
      <c r="E467" s="202">
        <f t="shared" ca="1" si="571"/>
        <v>58076</v>
      </c>
      <c r="F467" s="203">
        <f>IF(Dashboard!$Q$5="Float",F466+Dashboard!$R$5/12,F466)</f>
        <v>0.04</v>
      </c>
      <c r="G467" s="204">
        <f t="shared" si="552"/>
        <v>450</v>
      </c>
      <c r="H467" s="205">
        <f t="shared" si="553"/>
        <v>0</v>
      </c>
      <c r="I467" s="205">
        <f t="shared" si="629"/>
        <v>0</v>
      </c>
      <c r="J467" s="205">
        <f t="shared" si="630"/>
        <v>0</v>
      </c>
      <c r="K467" s="205">
        <f t="shared" si="554"/>
        <v>0</v>
      </c>
      <c r="L467" s="205">
        <f t="shared" si="555"/>
        <v>0</v>
      </c>
      <c r="M467" s="199"/>
      <c r="N467" s="200">
        <f t="shared" ca="1" si="556"/>
        <v>25</v>
      </c>
      <c r="O467" s="509">
        <f t="shared" ca="1" si="631"/>
        <v>298</v>
      </c>
      <c r="P467" s="200">
        <f t="shared" ca="1" si="632"/>
        <v>25</v>
      </c>
      <c r="Q467" s="201">
        <f t="shared" si="625"/>
        <v>6</v>
      </c>
      <c r="R467" s="202">
        <f t="shared" si="573"/>
        <v>53479</v>
      </c>
      <c r="S467" s="203">
        <f t="shared" si="557"/>
        <v>0.04</v>
      </c>
      <c r="T467" s="204">
        <f t="shared" ca="1" si="558"/>
        <v>263</v>
      </c>
      <c r="U467" s="205">
        <f t="shared" ca="1" si="559"/>
        <v>199285.48466908213</v>
      </c>
      <c r="V467" s="205">
        <f t="shared" ca="1" si="633"/>
        <v>-2387.0764773272963</v>
      </c>
      <c r="W467" s="205">
        <f t="shared" ca="1" si="634"/>
        <v>-664.28494889694048</v>
      </c>
      <c r="X467" s="205">
        <f t="shared" ca="1" si="560"/>
        <v>-1722.7915284303558</v>
      </c>
      <c r="Y467" s="205">
        <f t="shared" ca="1" si="561"/>
        <v>197562.69314065177</v>
      </c>
      <c r="Z467" s="199"/>
      <c r="AA467" s="200">
        <f t="shared" ref="AA467:AA497" ca="1" si="640">+ROUNDUP(AB467/12,0)</f>
        <v>38</v>
      </c>
      <c r="AB467" s="509">
        <f t="shared" ca="1" si="635"/>
        <v>449</v>
      </c>
      <c r="AC467" s="200">
        <f t="shared" si="636"/>
        <v>38</v>
      </c>
      <c r="AD467" s="201">
        <f t="shared" si="626"/>
        <v>6</v>
      </c>
      <c r="AE467" s="202">
        <f t="shared" ca="1" si="575"/>
        <v>58076</v>
      </c>
      <c r="AF467" s="203">
        <f>IF(Dashboard!$R$24="Float",AF466+Dashboard!$R$24/12,AF466)</f>
        <v>0.06</v>
      </c>
      <c r="AG467" s="204">
        <f t="shared" si="562"/>
        <v>450</v>
      </c>
      <c r="AH467" s="205">
        <f t="shared" si="563"/>
        <v>0</v>
      </c>
      <c r="AI467" s="205">
        <f t="shared" si="637"/>
        <v>0</v>
      </c>
      <c r="AJ467" s="205">
        <f t="shared" si="638"/>
        <v>0</v>
      </c>
      <c r="AK467" s="205">
        <f t="shared" si="564"/>
        <v>0</v>
      </c>
      <c r="AL467" s="205">
        <f t="shared" si="565"/>
        <v>0</v>
      </c>
      <c r="AM467" s="199"/>
      <c r="AN467" s="200">
        <f t="shared" si="639"/>
        <v>39</v>
      </c>
      <c r="AO467" s="201">
        <f t="shared" si="627"/>
        <v>6</v>
      </c>
      <c r="AP467" s="202">
        <f t="shared" ca="1" si="577"/>
        <v>58076</v>
      </c>
      <c r="AQ467" s="203">
        <f>IF(Dashboard!$S$20="Float",AQ466+Dashboard!$T$20/12,AQ466)</f>
        <v>4.4999999999999998E-2</v>
      </c>
      <c r="AR467" s="204">
        <f t="shared" si="566"/>
        <v>450</v>
      </c>
      <c r="AS467" s="205">
        <f t="shared" si="567"/>
        <v>-3.8495175728881368E-10</v>
      </c>
      <c r="AT467" s="205">
        <f t="shared" ref="AT467:AT497" si="641">+IFERROR(IF(AN467&gt;AO$6+$AT$5-1,PMT(LOOKUP(AN467,$AT$5:$AT$15,$AU$5:$AU$15)/12,$AO$5+1-AR467,AS467),-AS467*LOOKUP(AN467,AN$18:AN$497,AQ$18:AQ$497)/12),0)</f>
        <v>-3.6516212276183082E-12</v>
      </c>
      <c r="AU467" s="205">
        <f t="shared" ref="AU467:AU497" si="642">-AS467*LOOKUP(AN467,$AT$5:$AT$15,$AU$5:$AU$15)/12</f>
        <v>1.4435690898330512E-12</v>
      </c>
      <c r="AV467" s="205">
        <f t="shared" si="568"/>
        <v>-5.0951903174513594E-12</v>
      </c>
      <c r="AW467" s="205">
        <f t="shared" si="569"/>
        <v>-3.9004694760626506E-10</v>
      </c>
      <c r="AX467" s="199"/>
    </row>
    <row r="468" spans="1:50">
      <c r="A468" s="73"/>
      <c r="B468" s="570"/>
      <c r="C468" s="200">
        <f t="shared" si="628"/>
        <v>38</v>
      </c>
      <c r="D468" s="201">
        <f t="shared" si="624"/>
        <v>7</v>
      </c>
      <c r="E468" s="202">
        <f t="shared" ca="1" si="571"/>
        <v>58107</v>
      </c>
      <c r="F468" s="203">
        <f>IF(Dashboard!$Q$5="Float",F467+Dashboard!$R$5/12,F467)</f>
        <v>0.04</v>
      </c>
      <c r="G468" s="204">
        <f t="shared" ref="G468:G497" si="643">+IF(G467="I/O",IF(C468&lt;=D$6,"I/O",1),G467+1)</f>
        <v>451</v>
      </c>
      <c r="H468" s="205">
        <f t="shared" ref="H468:H497" si="644">+L467</f>
        <v>0</v>
      </c>
      <c r="I468" s="205">
        <f t="shared" si="629"/>
        <v>0</v>
      </c>
      <c r="J468" s="205">
        <f t="shared" si="630"/>
        <v>0</v>
      </c>
      <c r="K468" s="205">
        <f t="shared" ref="K468:K497" si="645">+I468-J468</f>
        <v>0</v>
      </c>
      <c r="L468" s="205">
        <f t="shared" ref="L468:L497" si="646">IFERROR(H468+K468,0)</f>
        <v>0</v>
      </c>
      <c r="M468" s="199"/>
      <c r="N468" s="200">
        <f t="shared" ref="N468:N497" ca="1" si="647">+ROUNDUP(O468/12,0)</f>
        <v>25</v>
      </c>
      <c r="O468" s="509">
        <f t="shared" ca="1" si="631"/>
        <v>299</v>
      </c>
      <c r="P468" s="200">
        <f t="shared" ca="1" si="632"/>
        <v>25</v>
      </c>
      <c r="Q468" s="201">
        <f t="shared" si="625"/>
        <v>7</v>
      </c>
      <c r="R468" s="202">
        <f t="shared" si="573"/>
        <v>53509</v>
      </c>
      <c r="S468" s="203">
        <f t="shared" ref="S468:S497" si="648">+S467</f>
        <v>0.04</v>
      </c>
      <c r="T468" s="204">
        <f t="shared" ref="T468:T497" ca="1" si="649">+IF(T467="I/O",IF(P468&lt;=Q$6,"I/O",1),T467+1)</f>
        <v>264</v>
      </c>
      <c r="U468" s="205">
        <f t="shared" ref="U468:U497" ca="1" si="650">+Y467</f>
        <v>197562.69314065177</v>
      </c>
      <c r="V468" s="205">
        <f t="shared" ca="1" si="633"/>
        <v>-2387.0764773272967</v>
      </c>
      <c r="W468" s="205">
        <f t="shared" ca="1" si="634"/>
        <v>-658.54231046883922</v>
      </c>
      <c r="X468" s="205">
        <f t="shared" ref="X468:X497" ca="1" si="651">+V468-W468</f>
        <v>-1728.5341668584574</v>
      </c>
      <c r="Y468" s="205">
        <f t="shared" ref="Y468:Y497" ca="1" si="652">IFERROR(U468+X468,0)</f>
        <v>195834.15897379332</v>
      </c>
      <c r="Z468" s="199"/>
      <c r="AA468" s="200">
        <f t="shared" ca="1" si="640"/>
        <v>38</v>
      </c>
      <c r="AB468" s="509">
        <f t="shared" ca="1" si="635"/>
        <v>450</v>
      </c>
      <c r="AC468" s="200">
        <f t="shared" si="636"/>
        <v>38</v>
      </c>
      <c r="AD468" s="201">
        <f t="shared" si="626"/>
        <v>7</v>
      </c>
      <c r="AE468" s="202">
        <f t="shared" ca="1" si="575"/>
        <v>58107</v>
      </c>
      <c r="AF468" s="203">
        <f>IF(Dashboard!$R$24="Float",AF467+Dashboard!$R$24/12,AF467)</f>
        <v>0.06</v>
      </c>
      <c r="AG468" s="204">
        <f t="shared" ref="AG468:AG497" si="653">+IF(AG467="I/O",IF(AC468&lt;=AD$6,"I/O",1),AG467+1)</f>
        <v>451</v>
      </c>
      <c r="AH468" s="205">
        <f t="shared" ref="AH468:AH497" si="654">+AL467</f>
        <v>0</v>
      </c>
      <c r="AI468" s="205">
        <f t="shared" si="637"/>
        <v>0</v>
      </c>
      <c r="AJ468" s="205">
        <f t="shared" si="638"/>
        <v>0</v>
      </c>
      <c r="AK468" s="205">
        <f t="shared" ref="AK468:AK497" si="655">+AI468-AJ468</f>
        <v>0</v>
      </c>
      <c r="AL468" s="205">
        <f t="shared" ref="AL468:AL497" si="656">IFERROR(AH468+AK468,0)</f>
        <v>0</v>
      </c>
      <c r="AM468" s="199"/>
      <c r="AN468" s="200">
        <f t="shared" si="639"/>
        <v>39</v>
      </c>
      <c r="AO468" s="201">
        <f t="shared" si="627"/>
        <v>7</v>
      </c>
      <c r="AP468" s="202">
        <f t="shared" ca="1" si="577"/>
        <v>58107</v>
      </c>
      <c r="AQ468" s="203">
        <f>IF(Dashboard!$S$20="Float",AQ467+Dashboard!$T$20/12,AQ467)</f>
        <v>4.4999999999999998E-2</v>
      </c>
      <c r="AR468" s="204">
        <f t="shared" ref="AR468:AR497" si="657">+IF(AR467="I/O",IF(AN468&lt;=AO$6,"I/O",1),AR467+1)</f>
        <v>451</v>
      </c>
      <c r="AS468" s="205">
        <f t="shared" ref="AS468:AS497" si="658">+AW467</f>
        <v>-3.9004694760626506E-10</v>
      </c>
      <c r="AT468" s="205">
        <f t="shared" si="641"/>
        <v>-3.6516212276183082E-12</v>
      </c>
      <c r="AU468" s="205">
        <f t="shared" si="642"/>
        <v>1.4626760535234939E-12</v>
      </c>
      <c r="AV468" s="205">
        <f t="shared" ref="AV468:AV497" si="659">+AT468-AU468</f>
        <v>-5.1142972811418021E-12</v>
      </c>
      <c r="AW468" s="205">
        <f t="shared" ref="AW468:AW497" si="660">IFERROR(AS468+AV468,0)</f>
        <v>-3.9516124488740689E-10</v>
      </c>
      <c r="AX468" s="199"/>
    </row>
    <row r="469" spans="1:50">
      <c r="A469" s="73"/>
      <c r="B469" s="570"/>
      <c r="C469" s="200">
        <f t="shared" si="628"/>
        <v>38</v>
      </c>
      <c r="D469" s="201">
        <f t="shared" si="624"/>
        <v>8</v>
      </c>
      <c r="E469" s="202">
        <f t="shared" ref="E469:E497" ca="1" si="661">+EDATE(E468,1)</f>
        <v>58135</v>
      </c>
      <c r="F469" s="203">
        <f>IF(Dashboard!$Q$5="Float",F468+Dashboard!$R$5/12,F468)</f>
        <v>0.04</v>
      </c>
      <c r="G469" s="204">
        <f t="shared" si="643"/>
        <v>452</v>
      </c>
      <c r="H469" s="205">
        <f t="shared" si="644"/>
        <v>0</v>
      </c>
      <c r="I469" s="205">
        <f t="shared" si="629"/>
        <v>0</v>
      </c>
      <c r="J469" s="205">
        <f t="shared" si="630"/>
        <v>0</v>
      </c>
      <c r="K469" s="205">
        <f t="shared" si="645"/>
        <v>0</v>
      </c>
      <c r="L469" s="205">
        <f t="shared" si="646"/>
        <v>0</v>
      </c>
      <c r="M469" s="199"/>
      <c r="N469" s="200">
        <f t="shared" ca="1" si="647"/>
        <v>25</v>
      </c>
      <c r="O469" s="509">
        <f t="shared" ca="1" si="631"/>
        <v>300</v>
      </c>
      <c r="P469" s="200">
        <f t="shared" ca="1" si="632"/>
        <v>26</v>
      </c>
      <c r="Q469" s="201">
        <f t="shared" si="625"/>
        <v>8</v>
      </c>
      <c r="R469" s="202">
        <f t="shared" ref="R469:R497" si="662">+EDATE(R468,1)</f>
        <v>53540</v>
      </c>
      <c r="S469" s="203">
        <f t="shared" si="648"/>
        <v>0.04</v>
      </c>
      <c r="T469" s="204">
        <f t="shared" ca="1" si="649"/>
        <v>265</v>
      </c>
      <c r="U469" s="205">
        <f t="shared" ca="1" si="650"/>
        <v>195834.15897379332</v>
      </c>
      <c r="V469" s="205">
        <f t="shared" ca="1" si="633"/>
        <v>-2387.0764773272963</v>
      </c>
      <c r="W469" s="205">
        <f t="shared" ca="1" si="634"/>
        <v>-652.7805299126444</v>
      </c>
      <c r="X469" s="205">
        <f t="shared" ca="1" si="651"/>
        <v>-1734.2959474146519</v>
      </c>
      <c r="Y469" s="205">
        <f t="shared" ca="1" si="652"/>
        <v>194099.86302637868</v>
      </c>
      <c r="Z469" s="199"/>
      <c r="AA469" s="200">
        <f t="shared" ca="1" si="640"/>
        <v>38</v>
      </c>
      <c r="AB469" s="509">
        <f t="shared" ca="1" si="635"/>
        <v>451</v>
      </c>
      <c r="AC469" s="200">
        <f t="shared" si="636"/>
        <v>38</v>
      </c>
      <c r="AD469" s="201">
        <f t="shared" si="626"/>
        <v>8</v>
      </c>
      <c r="AE469" s="202">
        <f t="shared" ref="AE469:AE497" ca="1" si="663">+EDATE(AE468,1)</f>
        <v>58135</v>
      </c>
      <c r="AF469" s="203">
        <f>IF(Dashboard!$R$24="Float",AF468+Dashboard!$R$24/12,AF468)</f>
        <v>0.06</v>
      </c>
      <c r="AG469" s="204">
        <f t="shared" si="653"/>
        <v>452</v>
      </c>
      <c r="AH469" s="205">
        <f t="shared" si="654"/>
        <v>0</v>
      </c>
      <c r="AI469" s="205">
        <f t="shared" si="637"/>
        <v>0</v>
      </c>
      <c r="AJ469" s="205">
        <f t="shared" si="638"/>
        <v>0</v>
      </c>
      <c r="AK469" s="205">
        <f t="shared" si="655"/>
        <v>0</v>
      </c>
      <c r="AL469" s="205">
        <f t="shared" si="656"/>
        <v>0</v>
      </c>
      <c r="AM469" s="199"/>
      <c r="AN469" s="200">
        <f t="shared" si="639"/>
        <v>39</v>
      </c>
      <c r="AO469" s="201">
        <f t="shared" si="627"/>
        <v>8</v>
      </c>
      <c r="AP469" s="202">
        <f t="shared" ref="AP469:AP497" ca="1" si="664">+EDATE(AP468,1)</f>
        <v>58135</v>
      </c>
      <c r="AQ469" s="203">
        <f>IF(Dashboard!$S$20="Float",AQ468+Dashboard!$T$20/12,AQ468)</f>
        <v>4.4999999999999998E-2</v>
      </c>
      <c r="AR469" s="204">
        <f t="shared" si="657"/>
        <v>452</v>
      </c>
      <c r="AS469" s="205">
        <f t="shared" si="658"/>
        <v>-3.9516124488740689E-10</v>
      </c>
      <c r="AT469" s="205">
        <f t="shared" si="641"/>
        <v>-3.6516212276183082E-12</v>
      </c>
      <c r="AU469" s="205">
        <f t="shared" si="642"/>
        <v>1.4818546683277759E-12</v>
      </c>
      <c r="AV469" s="205">
        <f t="shared" si="659"/>
        <v>-5.1334758959460841E-12</v>
      </c>
      <c r="AW469" s="205">
        <f t="shared" si="660"/>
        <v>-4.0029472078335297E-10</v>
      </c>
      <c r="AX469" s="199"/>
    </row>
    <row r="470" spans="1:50">
      <c r="A470" s="73"/>
      <c r="B470" s="570"/>
      <c r="C470" s="200">
        <f t="shared" si="628"/>
        <v>38</v>
      </c>
      <c r="D470" s="201">
        <f t="shared" si="624"/>
        <v>9</v>
      </c>
      <c r="E470" s="202">
        <f t="shared" ca="1" si="661"/>
        <v>58166</v>
      </c>
      <c r="F470" s="203">
        <f>IF(Dashboard!$Q$5="Float",F469+Dashboard!$R$5/12,F469)</f>
        <v>0.04</v>
      </c>
      <c r="G470" s="204">
        <f t="shared" si="643"/>
        <v>453</v>
      </c>
      <c r="H470" s="205">
        <f t="shared" si="644"/>
        <v>0</v>
      </c>
      <c r="I470" s="205">
        <f t="shared" si="629"/>
        <v>0</v>
      </c>
      <c r="J470" s="205">
        <f t="shared" si="630"/>
        <v>0</v>
      </c>
      <c r="K470" s="205">
        <f t="shared" si="645"/>
        <v>0</v>
      </c>
      <c r="L470" s="205">
        <f t="shared" si="646"/>
        <v>0</v>
      </c>
      <c r="M470" s="199"/>
      <c r="N470" s="200">
        <f t="shared" ca="1" si="647"/>
        <v>26</v>
      </c>
      <c r="O470" s="509">
        <f t="shared" ca="1" si="631"/>
        <v>301</v>
      </c>
      <c r="P470" s="200">
        <f t="shared" ca="1" si="632"/>
        <v>26</v>
      </c>
      <c r="Q470" s="201">
        <f t="shared" si="625"/>
        <v>9</v>
      </c>
      <c r="R470" s="202">
        <f t="shared" si="662"/>
        <v>53571</v>
      </c>
      <c r="S470" s="203">
        <f t="shared" si="648"/>
        <v>0.04</v>
      </c>
      <c r="T470" s="204">
        <f t="shared" ca="1" si="649"/>
        <v>266</v>
      </c>
      <c r="U470" s="205">
        <f t="shared" ca="1" si="650"/>
        <v>194099.86302637868</v>
      </c>
      <c r="V470" s="205">
        <f t="shared" ca="1" si="633"/>
        <v>-2387.0764773272963</v>
      </c>
      <c r="W470" s="205">
        <f t="shared" ca="1" si="634"/>
        <v>-646.99954342126227</v>
      </c>
      <c r="X470" s="205">
        <f t="shared" ca="1" si="651"/>
        <v>-1740.0769339060339</v>
      </c>
      <c r="Y470" s="205">
        <f t="shared" ca="1" si="652"/>
        <v>192359.78609247264</v>
      </c>
      <c r="Z470" s="199"/>
      <c r="AA470" s="200">
        <f t="shared" ca="1" si="640"/>
        <v>38</v>
      </c>
      <c r="AB470" s="509">
        <f t="shared" ca="1" si="635"/>
        <v>452</v>
      </c>
      <c r="AC470" s="200">
        <f t="shared" si="636"/>
        <v>38</v>
      </c>
      <c r="AD470" s="201">
        <f t="shared" si="626"/>
        <v>9</v>
      </c>
      <c r="AE470" s="202">
        <f t="shared" ca="1" si="663"/>
        <v>58166</v>
      </c>
      <c r="AF470" s="203">
        <f>IF(Dashboard!$R$24="Float",AF469+Dashboard!$R$24/12,AF469)</f>
        <v>0.06</v>
      </c>
      <c r="AG470" s="204">
        <f t="shared" si="653"/>
        <v>453</v>
      </c>
      <c r="AH470" s="205">
        <f t="shared" si="654"/>
        <v>0</v>
      </c>
      <c r="AI470" s="205">
        <f t="shared" si="637"/>
        <v>0</v>
      </c>
      <c r="AJ470" s="205">
        <f t="shared" si="638"/>
        <v>0</v>
      </c>
      <c r="AK470" s="205">
        <f t="shared" si="655"/>
        <v>0</v>
      </c>
      <c r="AL470" s="205">
        <f t="shared" si="656"/>
        <v>0</v>
      </c>
      <c r="AM470" s="199"/>
      <c r="AN470" s="200">
        <f t="shared" si="639"/>
        <v>39</v>
      </c>
      <c r="AO470" s="201">
        <f t="shared" si="627"/>
        <v>9</v>
      </c>
      <c r="AP470" s="202">
        <f t="shared" ca="1" si="664"/>
        <v>58166</v>
      </c>
      <c r="AQ470" s="203">
        <f>IF(Dashboard!$S$20="Float",AQ469+Dashboard!$T$20/12,AQ469)</f>
        <v>4.4999999999999998E-2</v>
      </c>
      <c r="AR470" s="204">
        <f t="shared" si="657"/>
        <v>453</v>
      </c>
      <c r="AS470" s="205">
        <f t="shared" si="658"/>
        <v>-4.0029472078335297E-10</v>
      </c>
      <c r="AT470" s="205">
        <f t="shared" si="641"/>
        <v>-3.6516212276183082E-12</v>
      </c>
      <c r="AU470" s="205">
        <f t="shared" si="642"/>
        <v>1.5011052029375737E-12</v>
      </c>
      <c r="AV470" s="205">
        <f t="shared" si="659"/>
        <v>-5.1527264305558821E-12</v>
      </c>
      <c r="AW470" s="205">
        <f t="shared" si="660"/>
        <v>-4.0544744721390887E-10</v>
      </c>
      <c r="AX470" s="199"/>
    </row>
    <row r="471" spans="1:50">
      <c r="A471" s="73"/>
      <c r="B471" s="570"/>
      <c r="C471" s="200">
        <f t="shared" si="628"/>
        <v>38</v>
      </c>
      <c r="D471" s="201">
        <f t="shared" si="624"/>
        <v>10</v>
      </c>
      <c r="E471" s="202">
        <f t="shared" ca="1" si="661"/>
        <v>58196</v>
      </c>
      <c r="F471" s="203">
        <f>IF(Dashboard!$Q$5="Float",F470+Dashboard!$R$5/12,F470)</f>
        <v>0.04</v>
      </c>
      <c r="G471" s="204">
        <f t="shared" si="643"/>
        <v>454</v>
      </c>
      <c r="H471" s="205">
        <f t="shared" si="644"/>
        <v>0</v>
      </c>
      <c r="I471" s="205">
        <f t="shared" si="629"/>
        <v>0</v>
      </c>
      <c r="J471" s="205">
        <f t="shared" si="630"/>
        <v>0</v>
      </c>
      <c r="K471" s="205">
        <f t="shared" si="645"/>
        <v>0</v>
      </c>
      <c r="L471" s="205">
        <f t="shared" si="646"/>
        <v>0</v>
      </c>
      <c r="M471" s="199"/>
      <c r="N471" s="200">
        <f t="shared" ca="1" si="647"/>
        <v>26</v>
      </c>
      <c r="O471" s="509">
        <f t="shared" ca="1" si="631"/>
        <v>302</v>
      </c>
      <c r="P471" s="200">
        <f t="shared" ca="1" si="632"/>
        <v>26</v>
      </c>
      <c r="Q471" s="201">
        <f t="shared" si="625"/>
        <v>10</v>
      </c>
      <c r="R471" s="202">
        <f t="shared" si="662"/>
        <v>53601</v>
      </c>
      <c r="S471" s="203">
        <f t="shared" si="648"/>
        <v>0.04</v>
      </c>
      <c r="T471" s="204">
        <f t="shared" ca="1" si="649"/>
        <v>267</v>
      </c>
      <c r="U471" s="205">
        <f t="shared" ca="1" si="650"/>
        <v>192359.78609247264</v>
      </c>
      <c r="V471" s="205">
        <f t="shared" ca="1" si="633"/>
        <v>-2387.0764773272963</v>
      </c>
      <c r="W471" s="205">
        <f t="shared" ca="1" si="634"/>
        <v>-641.19928697490889</v>
      </c>
      <c r="X471" s="205">
        <f t="shared" ca="1" si="651"/>
        <v>-1745.8771903523875</v>
      </c>
      <c r="Y471" s="205">
        <f t="shared" ca="1" si="652"/>
        <v>190613.90890212025</v>
      </c>
      <c r="Z471" s="199"/>
      <c r="AA471" s="200">
        <f t="shared" ca="1" si="640"/>
        <v>38</v>
      </c>
      <c r="AB471" s="509">
        <f t="shared" ca="1" si="635"/>
        <v>453</v>
      </c>
      <c r="AC471" s="200">
        <f t="shared" si="636"/>
        <v>38</v>
      </c>
      <c r="AD471" s="201">
        <f t="shared" si="626"/>
        <v>10</v>
      </c>
      <c r="AE471" s="202">
        <f t="shared" ca="1" si="663"/>
        <v>58196</v>
      </c>
      <c r="AF471" s="203">
        <f>IF(Dashboard!$R$24="Float",AF470+Dashboard!$R$24/12,AF470)</f>
        <v>0.06</v>
      </c>
      <c r="AG471" s="204">
        <f t="shared" si="653"/>
        <v>454</v>
      </c>
      <c r="AH471" s="205">
        <f t="shared" si="654"/>
        <v>0</v>
      </c>
      <c r="AI471" s="205">
        <f t="shared" si="637"/>
        <v>0</v>
      </c>
      <c r="AJ471" s="205">
        <f t="shared" si="638"/>
        <v>0</v>
      </c>
      <c r="AK471" s="205">
        <f t="shared" si="655"/>
        <v>0</v>
      </c>
      <c r="AL471" s="205">
        <f t="shared" si="656"/>
        <v>0</v>
      </c>
      <c r="AM471" s="199"/>
      <c r="AN471" s="200">
        <f t="shared" si="639"/>
        <v>39</v>
      </c>
      <c r="AO471" s="201">
        <f t="shared" si="627"/>
        <v>10</v>
      </c>
      <c r="AP471" s="202">
        <f t="shared" ca="1" si="664"/>
        <v>58196</v>
      </c>
      <c r="AQ471" s="203">
        <f>IF(Dashboard!$S$20="Float",AQ470+Dashboard!$T$20/12,AQ470)</f>
        <v>4.4999999999999998E-2</v>
      </c>
      <c r="AR471" s="204">
        <f t="shared" si="657"/>
        <v>454</v>
      </c>
      <c r="AS471" s="205">
        <f t="shared" si="658"/>
        <v>-4.0544744721390887E-10</v>
      </c>
      <c r="AT471" s="205">
        <f t="shared" si="641"/>
        <v>-3.6516212276183082E-12</v>
      </c>
      <c r="AU471" s="205">
        <f t="shared" si="642"/>
        <v>1.5204279270521582E-12</v>
      </c>
      <c r="AV471" s="205">
        <f t="shared" si="659"/>
        <v>-5.1720491546704664E-12</v>
      </c>
      <c r="AW471" s="205">
        <f t="shared" si="660"/>
        <v>-4.1061949636857932E-10</v>
      </c>
      <c r="AX471" s="199"/>
    </row>
    <row r="472" spans="1:50">
      <c r="A472" s="73"/>
      <c r="B472" s="570"/>
      <c r="C472" s="200">
        <f t="shared" si="628"/>
        <v>38</v>
      </c>
      <c r="D472" s="201">
        <f t="shared" si="624"/>
        <v>11</v>
      </c>
      <c r="E472" s="202">
        <f t="shared" ca="1" si="661"/>
        <v>58227</v>
      </c>
      <c r="F472" s="203">
        <f>IF(Dashboard!$Q$5="Float",F471+Dashboard!$R$5/12,F471)</f>
        <v>0.04</v>
      </c>
      <c r="G472" s="204">
        <f t="shared" si="643"/>
        <v>455</v>
      </c>
      <c r="H472" s="205">
        <f t="shared" si="644"/>
        <v>0</v>
      </c>
      <c r="I472" s="205">
        <f t="shared" si="629"/>
        <v>0</v>
      </c>
      <c r="J472" s="205">
        <f t="shared" si="630"/>
        <v>0</v>
      </c>
      <c r="K472" s="205">
        <f t="shared" si="645"/>
        <v>0</v>
      </c>
      <c r="L472" s="205">
        <f t="shared" si="646"/>
        <v>0</v>
      </c>
      <c r="M472" s="199"/>
      <c r="N472" s="200">
        <f t="shared" ca="1" si="647"/>
        <v>26</v>
      </c>
      <c r="O472" s="509">
        <f t="shared" ca="1" si="631"/>
        <v>303</v>
      </c>
      <c r="P472" s="200">
        <f t="shared" ca="1" si="632"/>
        <v>26</v>
      </c>
      <c r="Q472" s="201">
        <f t="shared" si="625"/>
        <v>11</v>
      </c>
      <c r="R472" s="202">
        <f t="shared" si="662"/>
        <v>53632</v>
      </c>
      <c r="S472" s="203">
        <f t="shared" si="648"/>
        <v>0.04</v>
      </c>
      <c r="T472" s="204">
        <f t="shared" ca="1" si="649"/>
        <v>268</v>
      </c>
      <c r="U472" s="205">
        <f t="shared" ca="1" si="650"/>
        <v>190613.90890212025</v>
      </c>
      <c r="V472" s="205">
        <f t="shared" ca="1" si="633"/>
        <v>-2387.0764773272967</v>
      </c>
      <c r="W472" s="205">
        <f t="shared" ca="1" si="634"/>
        <v>-635.37969634040087</v>
      </c>
      <c r="X472" s="205">
        <f t="shared" ca="1" si="651"/>
        <v>-1751.6967809868959</v>
      </c>
      <c r="Y472" s="205">
        <f t="shared" ca="1" si="652"/>
        <v>188862.21212113334</v>
      </c>
      <c r="Z472" s="199"/>
      <c r="AA472" s="200">
        <f t="shared" ca="1" si="640"/>
        <v>38</v>
      </c>
      <c r="AB472" s="509">
        <f t="shared" ca="1" si="635"/>
        <v>454</v>
      </c>
      <c r="AC472" s="200">
        <f t="shared" si="636"/>
        <v>38</v>
      </c>
      <c r="AD472" s="201">
        <f t="shared" si="626"/>
        <v>11</v>
      </c>
      <c r="AE472" s="202">
        <f t="shared" ca="1" si="663"/>
        <v>58227</v>
      </c>
      <c r="AF472" s="203">
        <f>IF(Dashboard!$R$24="Float",AF471+Dashboard!$R$24/12,AF471)</f>
        <v>0.06</v>
      </c>
      <c r="AG472" s="204">
        <f t="shared" si="653"/>
        <v>455</v>
      </c>
      <c r="AH472" s="205">
        <f t="shared" si="654"/>
        <v>0</v>
      </c>
      <c r="AI472" s="205">
        <f t="shared" si="637"/>
        <v>0</v>
      </c>
      <c r="AJ472" s="205">
        <f t="shared" si="638"/>
        <v>0</v>
      </c>
      <c r="AK472" s="205">
        <f t="shared" si="655"/>
        <v>0</v>
      </c>
      <c r="AL472" s="205">
        <f t="shared" si="656"/>
        <v>0</v>
      </c>
      <c r="AM472" s="199"/>
      <c r="AN472" s="200">
        <f t="shared" si="639"/>
        <v>39</v>
      </c>
      <c r="AO472" s="201">
        <f t="shared" si="627"/>
        <v>11</v>
      </c>
      <c r="AP472" s="202">
        <f t="shared" ca="1" si="664"/>
        <v>58227</v>
      </c>
      <c r="AQ472" s="203">
        <f>IF(Dashboard!$S$20="Float",AQ471+Dashboard!$T$20/12,AQ471)</f>
        <v>4.4999999999999998E-2</v>
      </c>
      <c r="AR472" s="204">
        <f t="shared" si="657"/>
        <v>455</v>
      </c>
      <c r="AS472" s="205">
        <f t="shared" si="658"/>
        <v>-4.1061949636857932E-10</v>
      </c>
      <c r="AT472" s="205">
        <f t="shared" si="641"/>
        <v>-3.6516212276183082E-12</v>
      </c>
      <c r="AU472" s="205">
        <f t="shared" si="642"/>
        <v>1.5398231113821724E-12</v>
      </c>
      <c r="AV472" s="205">
        <f t="shared" si="659"/>
        <v>-5.1914443390004806E-12</v>
      </c>
      <c r="AW472" s="205">
        <f t="shared" si="660"/>
        <v>-4.1581094070757979E-10</v>
      </c>
      <c r="AX472" s="199"/>
    </row>
    <row r="473" spans="1:50">
      <c r="A473" s="73"/>
      <c r="B473" s="570"/>
      <c r="C473" s="200">
        <f t="shared" si="628"/>
        <v>38</v>
      </c>
      <c r="D473" s="201">
        <f t="shared" si="624"/>
        <v>12</v>
      </c>
      <c r="E473" s="202">
        <f t="shared" ca="1" si="661"/>
        <v>58257</v>
      </c>
      <c r="F473" s="203">
        <f>IF(Dashboard!$Q$5="Float",F472+Dashboard!$R$5/12,F472)</f>
        <v>0.04</v>
      </c>
      <c r="G473" s="204">
        <f t="shared" si="643"/>
        <v>456</v>
      </c>
      <c r="H473" s="205">
        <f t="shared" si="644"/>
        <v>0</v>
      </c>
      <c r="I473" s="205">
        <f t="shared" si="629"/>
        <v>0</v>
      </c>
      <c r="J473" s="205">
        <f t="shared" si="630"/>
        <v>0</v>
      </c>
      <c r="K473" s="205">
        <f t="shared" si="645"/>
        <v>0</v>
      </c>
      <c r="L473" s="205">
        <f t="shared" si="646"/>
        <v>0</v>
      </c>
      <c r="M473" s="199"/>
      <c r="N473" s="200">
        <f t="shared" ca="1" si="647"/>
        <v>26</v>
      </c>
      <c r="O473" s="509">
        <f t="shared" ca="1" si="631"/>
        <v>304</v>
      </c>
      <c r="P473" s="200">
        <f t="shared" ca="1" si="632"/>
        <v>26</v>
      </c>
      <c r="Q473" s="201">
        <f t="shared" si="625"/>
        <v>12</v>
      </c>
      <c r="R473" s="202">
        <f t="shared" si="662"/>
        <v>53662</v>
      </c>
      <c r="S473" s="203">
        <f t="shared" si="648"/>
        <v>0.04</v>
      </c>
      <c r="T473" s="204">
        <f t="shared" ca="1" si="649"/>
        <v>269</v>
      </c>
      <c r="U473" s="205">
        <f t="shared" ca="1" si="650"/>
        <v>188862.21212113334</v>
      </c>
      <c r="V473" s="205">
        <f t="shared" ca="1" si="633"/>
        <v>-2387.0764773272963</v>
      </c>
      <c r="W473" s="205">
        <f t="shared" ca="1" si="634"/>
        <v>-629.54070707044445</v>
      </c>
      <c r="X473" s="205">
        <f t="shared" ca="1" si="651"/>
        <v>-1757.5357702568517</v>
      </c>
      <c r="Y473" s="205">
        <f t="shared" ca="1" si="652"/>
        <v>187104.67635087649</v>
      </c>
      <c r="Z473" s="199"/>
      <c r="AA473" s="200">
        <f t="shared" ca="1" si="640"/>
        <v>38</v>
      </c>
      <c r="AB473" s="509">
        <f t="shared" ca="1" si="635"/>
        <v>455</v>
      </c>
      <c r="AC473" s="200">
        <f t="shared" si="636"/>
        <v>38</v>
      </c>
      <c r="AD473" s="201">
        <f t="shared" si="626"/>
        <v>12</v>
      </c>
      <c r="AE473" s="202">
        <f t="shared" ca="1" si="663"/>
        <v>58257</v>
      </c>
      <c r="AF473" s="203">
        <f>IF(Dashboard!$R$24="Float",AF472+Dashboard!$R$24/12,AF472)</f>
        <v>0.06</v>
      </c>
      <c r="AG473" s="204">
        <f t="shared" si="653"/>
        <v>456</v>
      </c>
      <c r="AH473" s="205">
        <f t="shared" si="654"/>
        <v>0</v>
      </c>
      <c r="AI473" s="205">
        <f t="shared" si="637"/>
        <v>0</v>
      </c>
      <c r="AJ473" s="205">
        <f t="shared" si="638"/>
        <v>0</v>
      </c>
      <c r="AK473" s="205">
        <f t="shared" si="655"/>
        <v>0</v>
      </c>
      <c r="AL473" s="205">
        <f t="shared" si="656"/>
        <v>0</v>
      </c>
      <c r="AM473" s="199"/>
      <c r="AN473" s="200">
        <f t="shared" si="639"/>
        <v>39</v>
      </c>
      <c r="AO473" s="201">
        <f t="shared" si="627"/>
        <v>12</v>
      </c>
      <c r="AP473" s="202">
        <f t="shared" ca="1" si="664"/>
        <v>58257</v>
      </c>
      <c r="AQ473" s="203">
        <f>IF(Dashboard!$S$20="Float",AQ472+Dashboard!$T$20/12,AQ472)</f>
        <v>4.4999999999999998E-2</v>
      </c>
      <c r="AR473" s="204">
        <f t="shared" si="657"/>
        <v>456</v>
      </c>
      <c r="AS473" s="205">
        <f t="shared" si="658"/>
        <v>-4.1581094070757979E-10</v>
      </c>
      <c r="AT473" s="205">
        <f t="shared" si="641"/>
        <v>-3.6516212276183082E-12</v>
      </c>
      <c r="AU473" s="205">
        <f t="shared" si="642"/>
        <v>1.5592910276534243E-12</v>
      </c>
      <c r="AV473" s="205">
        <f t="shared" si="659"/>
        <v>-5.2109122552717325E-12</v>
      </c>
      <c r="AW473" s="205">
        <f t="shared" si="660"/>
        <v>-4.2102185296285154E-10</v>
      </c>
      <c r="AX473" s="199"/>
    </row>
    <row r="474" spans="1:50">
      <c r="A474" s="73"/>
      <c r="B474" s="571">
        <f>+C474</f>
        <v>39</v>
      </c>
      <c r="C474" s="16">
        <f t="shared" ref="C474" si="665">+C473+1</f>
        <v>39</v>
      </c>
      <c r="D474" s="17">
        <v>1</v>
      </c>
      <c r="E474" s="18">
        <f t="shared" ca="1" si="661"/>
        <v>58288</v>
      </c>
      <c r="F474" s="10">
        <f>IF(Dashboard!$Q$5="Float",F473+Dashboard!$R$5/12,F473)</f>
        <v>0.04</v>
      </c>
      <c r="G474" s="14">
        <f t="shared" si="643"/>
        <v>457</v>
      </c>
      <c r="H474" s="5">
        <f t="shared" si="644"/>
        <v>0</v>
      </c>
      <c r="I474" s="5">
        <f t="shared" si="629"/>
        <v>0</v>
      </c>
      <c r="J474" s="5">
        <f t="shared" si="630"/>
        <v>0</v>
      </c>
      <c r="K474" s="5">
        <f t="shared" si="645"/>
        <v>0</v>
      </c>
      <c r="L474" s="5">
        <f t="shared" si="646"/>
        <v>0</v>
      </c>
      <c r="M474" s="199"/>
      <c r="N474" s="16">
        <f t="shared" ca="1" si="647"/>
        <v>26</v>
      </c>
      <c r="O474" s="508">
        <f t="shared" ca="1" si="631"/>
        <v>305</v>
      </c>
      <c r="P474" s="16">
        <f t="shared" ca="1" si="632"/>
        <v>26</v>
      </c>
      <c r="Q474" s="17">
        <v>1</v>
      </c>
      <c r="R474" s="18">
        <f t="shared" si="662"/>
        <v>53693</v>
      </c>
      <c r="S474" s="10">
        <f t="shared" si="648"/>
        <v>0.04</v>
      </c>
      <c r="T474" s="14">
        <f t="shared" ca="1" si="649"/>
        <v>270</v>
      </c>
      <c r="U474" s="5">
        <f t="shared" ca="1" si="650"/>
        <v>187104.67635087649</v>
      </c>
      <c r="V474" s="5">
        <f t="shared" ca="1" si="633"/>
        <v>-2387.0764773272967</v>
      </c>
      <c r="W474" s="5">
        <f t="shared" ca="1" si="634"/>
        <v>-623.68225450292164</v>
      </c>
      <c r="X474" s="5">
        <f t="shared" ca="1" si="651"/>
        <v>-1763.394222824375</v>
      </c>
      <c r="Y474" s="5">
        <f t="shared" ca="1" si="652"/>
        <v>185341.28212805212</v>
      </c>
      <c r="Z474" s="199"/>
      <c r="AA474" s="16">
        <f t="shared" ca="1" si="640"/>
        <v>38</v>
      </c>
      <c r="AB474" s="508">
        <f t="shared" ca="1" si="635"/>
        <v>456</v>
      </c>
      <c r="AC474" s="16">
        <f t="shared" ref="AC474" si="666">+AC473+1</f>
        <v>39</v>
      </c>
      <c r="AD474" s="17">
        <v>1</v>
      </c>
      <c r="AE474" s="18">
        <f t="shared" ca="1" si="663"/>
        <v>58288</v>
      </c>
      <c r="AF474" s="10">
        <f>IF(Dashboard!$R$24="Float",AF473+Dashboard!$R$24/12,AF473)</f>
        <v>0.06</v>
      </c>
      <c r="AG474" s="14">
        <f t="shared" si="653"/>
        <v>457</v>
      </c>
      <c r="AH474" s="5">
        <f t="shared" si="654"/>
        <v>0</v>
      </c>
      <c r="AI474" s="5">
        <f t="shared" si="637"/>
        <v>0</v>
      </c>
      <c r="AJ474" s="5">
        <f t="shared" si="638"/>
        <v>0</v>
      </c>
      <c r="AK474" s="5">
        <f t="shared" si="655"/>
        <v>0</v>
      </c>
      <c r="AL474" s="5">
        <f t="shared" si="656"/>
        <v>0</v>
      </c>
      <c r="AM474" s="199"/>
      <c r="AN474" s="16">
        <f t="shared" ref="AN474" si="667">+AN473+1</f>
        <v>40</v>
      </c>
      <c r="AO474" s="17">
        <v>1</v>
      </c>
      <c r="AP474" s="18">
        <f t="shared" ca="1" si="664"/>
        <v>58288</v>
      </c>
      <c r="AQ474" s="10">
        <f>IF(Dashboard!$S$20="Float",AQ473+Dashboard!$T$20/12,AQ473)</f>
        <v>4.4999999999999998E-2</v>
      </c>
      <c r="AR474" s="14">
        <f t="shared" si="657"/>
        <v>457</v>
      </c>
      <c r="AS474" s="5">
        <f t="shared" si="658"/>
        <v>-4.2102185296285154E-10</v>
      </c>
      <c r="AT474" s="5">
        <f t="shared" si="641"/>
        <v>-3.6516212276183082E-12</v>
      </c>
      <c r="AU474" s="5">
        <f t="shared" si="642"/>
        <v>1.5788319486106932E-12</v>
      </c>
      <c r="AV474" s="5">
        <f t="shared" si="659"/>
        <v>-5.2304531762290014E-12</v>
      </c>
      <c r="AW474" s="5">
        <f t="shared" si="660"/>
        <v>-4.2625230613908052E-10</v>
      </c>
      <c r="AX474" s="199"/>
    </row>
    <row r="475" spans="1:50">
      <c r="A475" s="73"/>
      <c r="B475" s="572"/>
      <c r="C475" s="16">
        <f>+C474</f>
        <v>39</v>
      </c>
      <c r="D475" s="17">
        <f>+D474+1</f>
        <v>2</v>
      </c>
      <c r="E475" s="18">
        <f t="shared" ca="1" si="661"/>
        <v>58319</v>
      </c>
      <c r="F475" s="10">
        <f>IF(Dashboard!$Q$5="Float",F474+Dashboard!$R$5/12,F474)</f>
        <v>0.04</v>
      </c>
      <c r="G475" s="14">
        <f t="shared" si="643"/>
        <v>458</v>
      </c>
      <c r="H475" s="5">
        <f t="shared" si="644"/>
        <v>0</v>
      </c>
      <c r="I475" s="5">
        <f t="shared" si="629"/>
        <v>0</v>
      </c>
      <c r="J475" s="5">
        <f t="shared" si="630"/>
        <v>0</v>
      </c>
      <c r="K475" s="5">
        <f t="shared" si="645"/>
        <v>0</v>
      </c>
      <c r="L475" s="5">
        <f t="shared" si="646"/>
        <v>0</v>
      </c>
      <c r="M475" s="199"/>
      <c r="N475" s="16">
        <f t="shared" ca="1" si="647"/>
        <v>26</v>
      </c>
      <c r="O475" s="508">
        <f t="shared" ca="1" si="631"/>
        <v>306</v>
      </c>
      <c r="P475" s="16">
        <f t="shared" ca="1" si="632"/>
        <v>26</v>
      </c>
      <c r="Q475" s="17">
        <f>+Q474+1</f>
        <v>2</v>
      </c>
      <c r="R475" s="18">
        <f t="shared" si="662"/>
        <v>53724</v>
      </c>
      <c r="S475" s="10">
        <f t="shared" si="648"/>
        <v>0.04</v>
      </c>
      <c r="T475" s="14">
        <f t="shared" ca="1" si="649"/>
        <v>271</v>
      </c>
      <c r="U475" s="5">
        <f t="shared" ca="1" si="650"/>
        <v>185341.28212805212</v>
      </c>
      <c r="V475" s="5">
        <f t="shared" ca="1" si="633"/>
        <v>-2387.0764773272967</v>
      </c>
      <c r="W475" s="5">
        <f t="shared" ca="1" si="634"/>
        <v>-617.80427376017371</v>
      </c>
      <c r="X475" s="5">
        <f t="shared" ca="1" si="651"/>
        <v>-1769.2722035671231</v>
      </c>
      <c r="Y475" s="5">
        <f t="shared" ca="1" si="652"/>
        <v>183572.009924485</v>
      </c>
      <c r="Z475" s="199"/>
      <c r="AA475" s="16">
        <f t="shared" ca="1" si="640"/>
        <v>39</v>
      </c>
      <c r="AB475" s="508">
        <f t="shared" ca="1" si="635"/>
        <v>457</v>
      </c>
      <c r="AC475" s="16">
        <f>+AC474</f>
        <v>39</v>
      </c>
      <c r="AD475" s="17">
        <f>+AD474+1</f>
        <v>2</v>
      </c>
      <c r="AE475" s="18">
        <f t="shared" ca="1" si="663"/>
        <v>58319</v>
      </c>
      <c r="AF475" s="10">
        <f>IF(Dashboard!$R$24="Float",AF474+Dashboard!$R$24/12,AF474)</f>
        <v>0.06</v>
      </c>
      <c r="AG475" s="14">
        <f t="shared" si="653"/>
        <v>458</v>
      </c>
      <c r="AH475" s="5">
        <f t="shared" si="654"/>
        <v>0</v>
      </c>
      <c r="AI475" s="5">
        <f t="shared" si="637"/>
        <v>0</v>
      </c>
      <c r="AJ475" s="5">
        <f t="shared" si="638"/>
        <v>0</v>
      </c>
      <c r="AK475" s="5">
        <f t="shared" si="655"/>
        <v>0</v>
      </c>
      <c r="AL475" s="5">
        <f t="shared" si="656"/>
        <v>0</v>
      </c>
      <c r="AM475" s="199"/>
      <c r="AN475" s="16">
        <f>+AN474</f>
        <v>40</v>
      </c>
      <c r="AO475" s="17">
        <f>+AO474+1</f>
        <v>2</v>
      </c>
      <c r="AP475" s="18">
        <f t="shared" ca="1" si="664"/>
        <v>58319</v>
      </c>
      <c r="AQ475" s="10">
        <f>IF(Dashboard!$S$20="Float",AQ474+Dashboard!$T$20/12,AQ474)</f>
        <v>4.4999999999999998E-2</v>
      </c>
      <c r="AR475" s="14">
        <f t="shared" si="657"/>
        <v>458</v>
      </c>
      <c r="AS475" s="5">
        <f t="shared" si="658"/>
        <v>-4.2625230613908052E-10</v>
      </c>
      <c r="AT475" s="5">
        <f t="shared" si="641"/>
        <v>-3.6516212276183082E-12</v>
      </c>
      <c r="AU475" s="5">
        <f t="shared" si="642"/>
        <v>1.5984461480215519E-12</v>
      </c>
      <c r="AV475" s="5">
        <f t="shared" si="659"/>
        <v>-5.2500673756398603E-12</v>
      </c>
      <c r="AW475" s="5">
        <f t="shared" si="660"/>
        <v>-4.3150237351472038E-10</v>
      </c>
      <c r="AX475" s="199"/>
    </row>
    <row r="476" spans="1:50">
      <c r="A476" s="73"/>
      <c r="B476" s="572"/>
      <c r="C476" s="16">
        <f>+C475</f>
        <v>39</v>
      </c>
      <c r="D476" s="17">
        <f>+D475+1</f>
        <v>3</v>
      </c>
      <c r="E476" s="18">
        <f t="shared" ca="1" si="661"/>
        <v>58349</v>
      </c>
      <c r="F476" s="10">
        <f>IF(Dashboard!$Q$5="Float",F475+Dashboard!$R$5/12,F475)</f>
        <v>0.04</v>
      </c>
      <c r="G476" s="14">
        <f t="shared" si="643"/>
        <v>459</v>
      </c>
      <c r="H476" s="5">
        <f t="shared" si="644"/>
        <v>0</v>
      </c>
      <c r="I476" s="5">
        <f t="shared" si="629"/>
        <v>0</v>
      </c>
      <c r="J476" s="5">
        <f t="shared" si="630"/>
        <v>0</v>
      </c>
      <c r="K476" s="5">
        <f t="shared" si="645"/>
        <v>0</v>
      </c>
      <c r="L476" s="5">
        <f t="shared" si="646"/>
        <v>0</v>
      </c>
      <c r="M476" s="199"/>
      <c r="N476" s="16">
        <f t="shared" ca="1" si="647"/>
        <v>26</v>
      </c>
      <c r="O476" s="508">
        <f t="shared" ca="1" si="631"/>
        <v>307</v>
      </c>
      <c r="P476" s="16">
        <f t="shared" ca="1" si="632"/>
        <v>26</v>
      </c>
      <c r="Q476" s="17">
        <f>+Q475+1</f>
        <v>3</v>
      </c>
      <c r="R476" s="18">
        <f t="shared" si="662"/>
        <v>53752</v>
      </c>
      <c r="S476" s="10">
        <f t="shared" si="648"/>
        <v>0.04</v>
      </c>
      <c r="T476" s="14">
        <f t="shared" ca="1" si="649"/>
        <v>272</v>
      </c>
      <c r="U476" s="5">
        <f t="shared" ca="1" si="650"/>
        <v>183572.009924485</v>
      </c>
      <c r="V476" s="5">
        <f t="shared" ca="1" si="633"/>
        <v>-2387.0764773272963</v>
      </c>
      <c r="W476" s="5">
        <f t="shared" ca="1" si="634"/>
        <v>-611.90669974828336</v>
      </c>
      <c r="X476" s="5">
        <f t="shared" ca="1" si="651"/>
        <v>-1775.169777579013</v>
      </c>
      <c r="Y476" s="5">
        <f t="shared" ca="1" si="652"/>
        <v>181796.84014690598</v>
      </c>
      <c r="Z476" s="199"/>
      <c r="AA476" s="16">
        <f t="shared" ca="1" si="640"/>
        <v>39</v>
      </c>
      <c r="AB476" s="508">
        <f t="shared" ca="1" si="635"/>
        <v>458</v>
      </c>
      <c r="AC476" s="16">
        <f>+AC475</f>
        <v>39</v>
      </c>
      <c r="AD476" s="17">
        <f>+AD475+1</f>
        <v>3</v>
      </c>
      <c r="AE476" s="18">
        <f t="shared" ca="1" si="663"/>
        <v>58349</v>
      </c>
      <c r="AF476" s="10">
        <f>IF(Dashboard!$R$24="Float",AF475+Dashboard!$R$24/12,AF475)</f>
        <v>0.06</v>
      </c>
      <c r="AG476" s="14">
        <f t="shared" si="653"/>
        <v>459</v>
      </c>
      <c r="AH476" s="5">
        <f t="shared" si="654"/>
        <v>0</v>
      </c>
      <c r="AI476" s="5">
        <f t="shared" si="637"/>
        <v>0</v>
      </c>
      <c r="AJ476" s="5">
        <f t="shared" si="638"/>
        <v>0</v>
      </c>
      <c r="AK476" s="5">
        <f t="shared" si="655"/>
        <v>0</v>
      </c>
      <c r="AL476" s="5">
        <f t="shared" si="656"/>
        <v>0</v>
      </c>
      <c r="AM476" s="199"/>
      <c r="AN476" s="16">
        <f>+AN475</f>
        <v>40</v>
      </c>
      <c r="AO476" s="17">
        <f>+AO475+1</f>
        <v>3</v>
      </c>
      <c r="AP476" s="18">
        <f t="shared" ca="1" si="664"/>
        <v>58349</v>
      </c>
      <c r="AQ476" s="10">
        <f>IF(Dashboard!$S$20="Float",AQ475+Dashboard!$T$20/12,AQ475)</f>
        <v>4.4999999999999998E-2</v>
      </c>
      <c r="AR476" s="14">
        <f t="shared" si="657"/>
        <v>459</v>
      </c>
      <c r="AS476" s="5">
        <f t="shared" si="658"/>
        <v>-4.3150237351472038E-10</v>
      </c>
      <c r="AT476" s="5">
        <f t="shared" si="641"/>
        <v>-3.651621227618309E-12</v>
      </c>
      <c r="AU476" s="5">
        <f t="shared" si="642"/>
        <v>1.6181339006802013E-12</v>
      </c>
      <c r="AV476" s="5">
        <f t="shared" si="659"/>
        <v>-5.2697551282985103E-12</v>
      </c>
      <c r="AW476" s="5">
        <f t="shared" si="660"/>
        <v>-4.367721286430189E-10</v>
      </c>
      <c r="AX476" s="199"/>
    </row>
    <row r="477" spans="1:50">
      <c r="A477" s="73"/>
      <c r="B477" s="572"/>
      <c r="C477" s="16">
        <f>+C476</f>
        <v>39</v>
      </c>
      <c r="D477" s="17">
        <f t="shared" ref="D477:D485" si="668">+D476+1</f>
        <v>4</v>
      </c>
      <c r="E477" s="18">
        <f t="shared" ca="1" si="661"/>
        <v>58380</v>
      </c>
      <c r="F477" s="10">
        <f>IF(Dashboard!$Q$5="Float",F476+Dashboard!$R$5/12,F476)</f>
        <v>0.04</v>
      </c>
      <c r="G477" s="14">
        <f t="shared" si="643"/>
        <v>460</v>
      </c>
      <c r="H477" s="5">
        <f t="shared" si="644"/>
        <v>0</v>
      </c>
      <c r="I477" s="5">
        <f t="shared" si="629"/>
        <v>0</v>
      </c>
      <c r="J477" s="5">
        <f t="shared" si="630"/>
        <v>0</v>
      </c>
      <c r="K477" s="5">
        <f t="shared" si="645"/>
        <v>0</v>
      </c>
      <c r="L477" s="5">
        <f t="shared" si="646"/>
        <v>0</v>
      </c>
      <c r="M477" s="199"/>
      <c r="N477" s="16">
        <f t="shared" ca="1" si="647"/>
        <v>26</v>
      </c>
      <c r="O477" s="508">
        <f t="shared" ca="1" si="631"/>
        <v>308</v>
      </c>
      <c r="P477" s="16">
        <f t="shared" ca="1" si="632"/>
        <v>26</v>
      </c>
      <c r="Q477" s="17">
        <f t="shared" ref="Q477:Q485" si="669">+Q476+1</f>
        <v>4</v>
      </c>
      <c r="R477" s="18">
        <f t="shared" si="662"/>
        <v>53783</v>
      </c>
      <c r="S477" s="10">
        <f t="shared" si="648"/>
        <v>0.04</v>
      </c>
      <c r="T477" s="14">
        <f t="shared" ca="1" si="649"/>
        <v>273</v>
      </c>
      <c r="U477" s="5">
        <f t="shared" ca="1" si="650"/>
        <v>181796.84014690598</v>
      </c>
      <c r="V477" s="5">
        <f t="shared" ca="1" si="633"/>
        <v>-2387.0764773272963</v>
      </c>
      <c r="W477" s="5">
        <f t="shared" ca="1" si="634"/>
        <v>-605.98946715635327</v>
      </c>
      <c r="X477" s="5">
        <f t="shared" ca="1" si="651"/>
        <v>-1781.0870101709429</v>
      </c>
      <c r="Y477" s="5">
        <f t="shared" ca="1" si="652"/>
        <v>180015.75313673503</v>
      </c>
      <c r="Z477" s="199"/>
      <c r="AA477" s="16">
        <f t="shared" ca="1" si="640"/>
        <v>39</v>
      </c>
      <c r="AB477" s="508">
        <f t="shared" ca="1" si="635"/>
        <v>459</v>
      </c>
      <c r="AC477" s="16">
        <f>+AC476</f>
        <v>39</v>
      </c>
      <c r="AD477" s="17">
        <f t="shared" ref="AD477:AD485" si="670">+AD476+1</f>
        <v>4</v>
      </c>
      <c r="AE477" s="18">
        <f t="shared" ca="1" si="663"/>
        <v>58380</v>
      </c>
      <c r="AF477" s="10">
        <f>IF(Dashboard!$R$24="Float",AF476+Dashboard!$R$24/12,AF476)</f>
        <v>0.06</v>
      </c>
      <c r="AG477" s="14">
        <f t="shared" si="653"/>
        <v>460</v>
      </c>
      <c r="AH477" s="5">
        <f t="shared" si="654"/>
        <v>0</v>
      </c>
      <c r="AI477" s="5">
        <f t="shared" si="637"/>
        <v>0</v>
      </c>
      <c r="AJ477" s="5">
        <f t="shared" si="638"/>
        <v>0</v>
      </c>
      <c r="AK477" s="5">
        <f t="shared" si="655"/>
        <v>0</v>
      </c>
      <c r="AL477" s="5">
        <f t="shared" si="656"/>
        <v>0</v>
      </c>
      <c r="AM477" s="199"/>
      <c r="AN477" s="16">
        <f>+AN476</f>
        <v>40</v>
      </c>
      <c r="AO477" s="17">
        <f t="shared" ref="AO477:AO485" si="671">+AO476+1</f>
        <v>4</v>
      </c>
      <c r="AP477" s="18">
        <f t="shared" ca="1" si="664"/>
        <v>58380</v>
      </c>
      <c r="AQ477" s="10">
        <f>IF(Dashboard!$S$20="Float",AQ476+Dashboard!$T$20/12,AQ476)</f>
        <v>4.4999999999999998E-2</v>
      </c>
      <c r="AR477" s="14">
        <f t="shared" si="657"/>
        <v>460</v>
      </c>
      <c r="AS477" s="5">
        <f t="shared" si="658"/>
        <v>-4.367721286430189E-10</v>
      </c>
      <c r="AT477" s="5">
        <f t="shared" si="641"/>
        <v>-3.651621227618309E-12</v>
      </c>
      <c r="AU477" s="5">
        <f t="shared" si="642"/>
        <v>1.6378954824113207E-12</v>
      </c>
      <c r="AV477" s="5">
        <f t="shared" si="659"/>
        <v>-5.2895167100296295E-12</v>
      </c>
      <c r="AW477" s="5">
        <f t="shared" si="660"/>
        <v>-4.4206164535304855E-10</v>
      </c>
      <c r="AX477" s="199"/>
    </row>
    <row r="478" spans="1:50">
      <c r="A478" s="73"/>
      <c r="B478" s="572"/>
      <c r="C478" s="16">
        <f t="shared" ref="C478:C485" si="672">+C477</f>
        <v>39</v>
      </c>
      <c r="D478" s="17">
        <f t="shared" si="668"/>
        <v>5</v>
      </c>
      <c r="E478" s="18">
        <f t="shared" ca="1" si="661"/>
        <v>58410</v>
      </c>
      <c r="F478" s="10">
        <f>IF(Dashboard!$Q$5="Float",F477+Dashboard!$R$5/12,F477)</f>
        <v>0.04</v>
      </c>
      <c r="G478" s="14">
        <f t="shared" si="643"/>
        <v>461</v>
      </c>
      <c r="H478" s="5">
        <f t="shared" si="644"/>
        <v>0</v>
      </c>
      <c r="I478" s="5">
        <f t="shared" si="629"/>
        <v>0</v>
      </c>
      <c r="J478" s="5">
        <f t="shared" si="630"/>
        <v>0</v>
      </c>
      <c r="K478" s="5">
        <f t="shared" si="645"/>
        <v>0</v>
      </c>
      <c r="L478" s="5">
        <f t="shared" si="646"/>
        <v>0</v>
      </c>
      <c r="M478" s="199"/>
      <c r="N478" s="16">
        <f t="shared" ca="1" si="647"/>
        <v>26</v>
      </c>
      <c r="O478" s="508">
        <f t="shared" ca="1" si="631"/>
        <v>309</v>
      </c>
      <c r="P478" s="16">
        <f t="shared" ca="1" si="632"/>
        <v>26</v>
      </c>
      <c r="Q478" s="17">
        <f t="shared" si="669"/>
        <v>5</v>
      </c>
      <c r="R478" s="18">
        <f t="shared" si="662"/>
        <v>53813</v>
      </c>
      <c r="S478" s="10">
        <f t="shared" si="648"/>
        <v>0.04</v>
      </c>
      <c r="T478" s="14">
        <f t="shared" ca="1" si="649"/>
        <v>274</v>
      </c>
      <c r="U478" s="5">
        <f t="shared" ca="1" si="650"/>
        <v>180015.75313673503</v>
      </c>
      <c r="V478" s="5">
        <f t="shared" ca="1" si="633"/>
        <v>-2387.0764773272963</v>
      </c>
      <c r="W478" s="5">
        <f t="shared" ca="1" si="634"/>
        <v>-600.05251045578348</v>
      </c>
      <c r="X478" s="5">
        <f t="shared" ca="1" si="651"/>
        <v>-1787.0239668715128</v>
      </c>
      <c r="Y478" s="5">
        <f t="shared" ca="1" si="652"/>
        <v>178228.72916986351</v>
      </c>
      <c r="Z478" s="199"/>
      <c r="AA478" s="16">
        <f t="shared" ca="1" si="640"/>
        <v>39</v>
      </c>
      <c r="AB478" s="508">
        <f t="shared" ca="1" si="635"/>
        <v>460</v>
      </c>
      <c r="AC478" s="16">
        <f t="shared" ref="AC478:AC485" si="673">+AC477</f>
        <v>39</v>
      </c>
      <c r="AD478" s="17">
        <f t="shared" si="670"/>
        <v>5</v>
      </c>
      <c r="AE478" s="18">
        <f t="shared" ca="1" si="663"/>
        <v>58410</v>
      </c>
      <c r="AF478" s="10">
        <f>IF(Dashboard!$R$24="Float",AF477+Dashboard!$R$24/12,AF477)</f>
        <v>0.06</v>
      </c>
      <c r="AG478" s="14">
        <f t="shared" si="653"/>
        <v>461</v>
      </c>
      <c r="AH478" s="5">
        <f t="shared" si="654"/>
        <v>0</v>
      </c>
      <c r="AI478" s="5">
        <f t="shared" si="637"/>
        <v>0</v>
      </c>
      <c r="AJ478" s="5">
        <f t="shared" si="638"/>
        <v>0</v>
      </c>
      <c r="AK478" s="5">
        <f t="shared" si="655"/>
        <v>0</v>
      </c>
      <c r="AL478" s="5">
        <f t="shared" si="656"/>
        <v>0</v>
      </c>
      <c r="AM478" s="199"/>
      <c r="AN478" s="16">
        <f t="shared" ref="AN478:AN485" si="674">+AN477</f>
        <v>40</v>
      </c>
      <c r="AO478" s="17">
        <f t="shared" si="671"/>
        <v>5</v>
      </c>
      <c r="AP478" s="18">
        <f t="shared" ca="1" si="664"/>
        <v>58410</v>
      </c>
      <c r="AQ478" s="10">
        <f>IF(Dashboard!$S$20="Float",AQ477+Dashboard!$T$20/12,AQ477)</f>
        <v>4.4999999999999998E-2</v>
      </c>
      <c r="AR478" s="14">
        <f t="shared" si="657"/>
        <v>461</v>
      </c>
      <c r="AS478" s="5">
        <f t="shared" si="658"/>
        <v>-4.4206164535304855E-10</v>
      </c>
      <c r="AT478" s="5">
        <f t="shared" si="641"/>
        <v>-3.651621227618309E-12</v>
      </c>
      <c r="AU478" s="5">
        <f t="shared" si="642"/>
        <v>1.657731170073932E-12</v>
      </c>
      <c r="AV478" s="5">
        <f t="shared" si="659"/>
        <v>-5.3093523976922412E-12</v>
      </c>
      <c r="AW478" s="5">
        <f t="shared" si="660"/>
        <v>-4.473709977507408E-10</v>
      </c>
      <c r="AX478" s="199"/>
    </row>
    <row r="479" spans="1:50">
      <c r="A479" s="73"/>
      <c r="B479" s="572"/>
      <c r="C479" s="16">
        <f t="shared" si="672"/>
        <v>39</v>
      </c>
      <c r="D479" s="17">
        <f t="shared" si="668"/>
        <v>6</v>
      </c>
      <c r="E479" s="18">
        <f t="shared" ca="1" si="661"/>
        <v>58441</v>
      </c>
      <c r="F479" s="10">
        <f>IF(Dashboard!$Q$5="Float",F478+Dashboard!$R$5/12,F478)</f>
        <v>0.04</v>
      </c>
      <c r="G479" s="14">
        <f t="shared" si="643"/>
        <v>462</v>
      </c>
      <c r="H479" s="5">
        <f t="shared" si="644"/>
        <v>0</v>
      </c>
      <c r="I479" s="5">
        <f t="shared" si="629"/>
        <v>0</v>
      </c>
      <c r="J479" s="5">
        <f t="shared" si="630"/>
        <v>0</v>
      </c>
      <c r="K479" s="5">
        <f t="shared" si="645"/>
        <v>0</v>
      </c>
      <c r="L479" s="5">
        <f t="shared" si="646"/>
        <v>0</v>
      </c>
      <c r="M479" s="199"/>
      <c r="N479" s="16">
        <f t="shared" ca="1" si="647"/>
        <v>26</v>
      </c>
      <c r="O479" s="508">
        <f t="shared" ca="1" si="631"/>
        <v>310</v>
      </c>
      <c r="P479" s="16">
        <f t="shared" ca="1" si="632"/>
        <v>26</v>
      </c>
      <c r="Q479" s="17">
        <f t="shared" si="669"/>
        <v>6</v>
      </c>
      <c r="R479" s="18">
        <f t="shared" si="662"/>
        <v>53844</v>
      </c>
      <c r="S479" s="10">
        <f t="shared" si="648"/>
        <v>0.04</v>
      </c>
      <c r="T479" s="14">
        <f t="shared" ca="1" si="649"/>
        <v>275</v>
      </c>
      <c r="U479" s="5">
        <f t="shared" ca="1" si="650"/>
        <v>178228.72916986351</v>
      </c>
      <c r="V479" s="5">
        <f t="shared" ca="1" si="633"/>
        <v>-2387.0764773272963</v>
      </c>
      <c r="W479" s="5">
        <f t="shared" ca="1" si="634"/>
        <v>-594.09576389954498</v>
      </c>
      <c r="X479" s="5">
        <f t="shared" ca="1" si="651"/>
        <v>-1792.9807134277512</v>
      </c>
      <c r="Y479" s="5">
        <f t="shared" ca="1" si="652"/>
        <v>176435.74845643574</v>
      </c>
      <c r="Z479" s="199"/>
      <c r="AA479" s="16">
        <f t="shared" ca="1" si="640"/>
        <v>39</v>
      </c>
      <c r="AB479" s="508">
        <f t="shared" ca="1" si="635"/>
        <v>461</v>
      </c>
      <c r="AC479" s="16">
        <f t="shared" si="673"/>
        <v>39</v>
      </c>
      <c r="AD479" s="17">
        <f t="shared" si="670"/>
        <v>6</v>
      </c>
      <c r="AE479" s="18">
        <f t="shared" ca="1" si="663"/>
        <v>58441</v>
      </c>
      <c r="AF479" s="10">
        <f>IF(Dashboard!$R$24="Float",AF478+Dashboard!$R$24/12,AF478)</f>
        <v>0.06</v>
      </c>
      <c r="AG479" s="14">
        <f t="shared" si="653"/>
        <v>462</v>
      </c>
      <c r="AH479" s="5">
        <f t="shared" si="654"/>
        <v>0</v>
      </c>
      <c r="AI479" s="5">
        <f t="shared" si="637"/>
        <v>0</v>
      </c>
      <c r="AJ479" s="5">
        <f t="shared" si="638"/>
        <v>0</v>
      </c>
      <c r="AK479" s="5">
        <f t="shared" si="655"/>
        <v>0</v>
      </c>
      <c r="AL479" s="5">
        <f t="shared" si="656"/>
        <v>0</v>
      </c>
      <c r="AM479" s="199"/>
      <c r="AN479" s="16">
        <f t="shared" si="674"/>
        <v>40</v>
      </c>
      <c r="AO479" s="17">
        <f t="shared" si="671"/>
        <v>6</v>
      </c>
      <c r="AP479" s="18">
        <f t="shared" ca="1" si="664"/>
        <v>58441</v>
      </c>
      <c r="AQ479" s="10">
        <f>IF(Dashboard!$S$20="Float",AQ478+Dashboard!$T$20/12,AQ478)</f>
        <v>4.4999999999999998E-2</v>
      </c>
      <c r="AR479" s="14">
        <f t="shared" si="657"/>
        <v>462</v>
      </c>
      <c r="AS479" s="5">
        <f t="shared" si="658"/>
        <v>-4.473709977507408E-10</v>
      </c>
      <c r="AT479" s="5">
        <f t="shared" si="641"/>
        <v>-3.6516212276183082E-12</v>
      </c>
      <c r="AU479" s="5">
        <f t="shared" si="642"/>
        <v>1.6776412415652779E-12</v>
      </c>
      <c r="AV479" s="5">
        <f t="shared" si="659"/>
        <v>-5.3292624691835859E-12</v>
      </c>
      <c r="AW479" s="5">
        <f t="shared" si="660"/>
        <v>-4.5270026021992439E-10</v>
      </c>
      <c r="AX479" s="199"/>
    </row>
    <row r="480" spans="1:50">
      <c r="A480" s="73"/>
      <c r="B480" s="572"/>
      <c r="C480" s="16">
        <f t="shared" si="672"/>
        <v>39</v>
      </c>
      <c r="D480" s="17">
        <f t="shared" si="668"/>
        <v>7</v>
      </c>
      <c r="E480" s="18">
        <f t="shared" ca="1" si="661"/>
        <v>58472</v>
      </c>
      <c r="F480" s="10">
        <f>IF(Dashboard!$Q$5="Float",F479+Dashboard!$R$5/12,F479)</f>
        <v>0.04</v>
      </c>
      <c r="G480" s="14">
        <f t="shared" si="643"/>
        <v>463</v>
      </c>
      <c r="H480" s="5">
        <f t="shared" si="644"/>
        <v>0</v>
      </c>
      <c r="I480" s="5">
        <f t="shared" si="629"/>
        <v>0</v>
      </c>
      <c r="J480" s="5">
        <f t="shared" si="630"/>
        <v>0</v>
      </c>
      <c r="K480" s="5">
        <f t="shared" si="645"/>
        <v>0</v>
      </c>
      <c r="L480" s="5">
        <f t="shared" si="646"/>
        <v>0</v>
      </c>
      <c r="M480" s="199"/>
      <c r="N480" s="16">
        <f t="shared" ca="1" si="647"/>
        <v>26</v>
      </c>
      <c r="O480" s="508">
        <f t="shared" ca="1" si="631"/>
        <v>311</v>
      </c>
      <c r="P480" s="16">
        <f t="shared" ca="1" si="632"/>
        <v>26</v>
      </c>
      <c r="Q480" s="17">
        <f t="shared" si="669"/>
        <v>7</v>
      </c>
      <c r="R480" s="18">
        <f t="shared" si="662"/>
        <v>53874</v>
      </c>
      <c r="S480" s="10">
        <f t="shared" si="648"/>
        <v>0.04</v>
      </c>
      <c r="T480" s="14">
        <f t="shared" ca="1" si="649"/>
        <v>276</v>
      </c>
      <c r="U480" s="5">
        <f t="shared" ca="1" si="650"/>
        <v>176435.74845643574</v>
      </c>
      <c r="V480" s="5">
        <f t="shared" ca="1" si="633"/>
        <v>-2387.0764773272958</v>
      </c>
      <c r="W480" s="5">
        <f t="shared" ca="1" si="634"/>
        <v>-588.1191615214525</v>
      </c>
      <c r="X480" s="5">
        <f t="shared" ca="1" si="651"/>
        <v>-1798.9573158058433</v>
      </c>
      <c r="Y480" s="5">
        <f t="shared" ca="1" si="652"/>
        <v>174636.79114062991</v>
      </c>
      <c r="Z480" s="199"/>
      <c r="AA480" s="16">
        <f t="shared" ca="1" si="640"/>
        <v>39</v>
      </c>
      <c r="AB480" s="508">
        <f t="shared" ca="1" si="635"/>
        <v>462</v>
      </c>
      <c r="AC480" s="16">
        <f t="shared" si="673"/>
        <v>39</v>
      </c>
      <c r="AD480" s="17">
        <f t="shared" si="670"/>
        <v>7</v>
      </c>
      <c r="AE480" s="18">
        <f t="shared" ca="1" si="663"/>
        <v>58472</v>
      </c>
      <c r="AF480" s="10">
        <f>IF(Dashboard!$R$24="Float",AF479+Dashboard!$R$24/12,AF479)</f>
        <v>0.06</v>
      </c>
      <c r="AG480" s="14">
        <f t="shared" si="653"/>
        <v>463</v>
      </c>
      <c r="AH480" s="5">
        <f t="shared" si="654"/>
        <v>0</v>
      </c>
      <c r="AI480" s="5">
        <f t="shared" si="637"/>
        <v>0</v>
      </c>
      <c r="AJ480" s="5">
        <f t="shared" si="638"/>
        <v>0</v>
      </c>
      <c r="AK480" s="5">
        <f t="shared" si="655"/>
        <v>0</v>
      </c>
      <c r="AL480" s="5">
        <f t="shared" si="656"/>
        <v>0</v>
      </c>
      <c r="AM480" s="199"/>
      <c r="AN480" s="16">
        <f t="shared" si="674"/>
        <v>40</v>
      </c>
      <c r="AO480" s="17">
        <f t="shared" si="671"/>
        <v>7</v>
      </c>
      <c r="AP480" s="18">
        <f t="shared" ca="1" si="664"/>
        <v>58472</v>
      </c>
      <c r="AQ480" s="10">
        <f>IF(Dashboard!$S$20="Float",AQ479+Dashboard!$T$20/12,AQ479)</f>
        <v>4.4999999999999998E-2</v>
      </c>
      <c r="AR480" s="14">
        <f t="shared" si="657"/>
        <v>463</v>
      </c>
      <c r="AS480" s="5">
        <f t="shared" si="658"/>
        <v>-4.5270026021992439E-10</v>
      </c>
      <c r="AT480" s="5">
        <f t="shared" si="641"/>
        <v>-3.6516212276183082E-12</v>
      </c>
      <c r="AU480" s="5">
        <f t="shared" si="642"/>
        <v>1.6976259758247162E-12</v>
      </c>
      <c r="AV480" s="5">
        <f t="shared" si="659"/>
        <v>-5.3492472034430242E-12</v>
      </c>
      <c r="AW480" s="5">
        <f t="shared" si="660"/>
        <v>-4.5804950742336742E-10</v>
      </c>
      <c r="AX480" s="199"/>
    </row>
    <row r="481" spans="1:50">
      <c r="A481" s="73"/>
      <c r="B481" s="572"/>
      <c r="C481" s="16">
        <f t="shared" si="672"/>
        <v>39</v>
      </c>
      <c r="D481" s="17">
        <f t="shared" si="668"/>
        <v>8</v>
      </c>
      <c r="E481" s="18">
        <f t="shared" ca="1" si="661"/>
        <v>58501</v>
      </c>
      <c r="F481" s="10">
        <f>IF(Dashboard!$Q$5="Float",F480+Dashboard!$R$5/12,F480)</f>
        <v>0.04</v>
      </c>
      <c r="G481" s="14">
        <f t="shared" si="643"/>
        <v>464</v>
      </c>
      <c r="H481" s="5">
        <f t="shared" si="644"/>
        <v>0</v>
      </c>
      <c r="I481" s="5">
        <f t="shared" si="629"/>
        <v>0</v>
      </c>
      <c r="J481" s="5">
        <f t="shared" si="630"/>
        <v>0</v>
      </c>
      <c r="K481" s="5">
        <f t="shared" si="645"/>
        <v>0</v>
      </c>
      <c r="L481" s="5">
        <f t="shared" si="646"/>
        <v>0</v>
      </c>
      <c r="M481" s="199"/>
      <c r="N481" s="16">
        <f t="shared" ca="1" si="647"/>
        <v>26</v>
      </c>
      <c r="O481" s="508">
        <f t="shared" ca="1" si="631"/>
        <v>312</v>
      </c>
      <c r="P481" s="16">
        <f t="shared" ca="1" si="632"/>
        <v>27</v>
      </c>
      <c r="Q481" s="17">
        <f t="shared" si="669"/>
        <v>8</v>
      </c>
      <c r="R481" s="18">
        <f t="shared" si="662"/>
        <v>53905</v>
      </c>
      <c r="S481" s="10">
        <f t="shared" si="648"/>
        <v>0.04</v>
      </c>
      <c r="T481" s="14">
        <f t="shared" ca="1" si="649"/>
        <v>277</v>
      </c>
      <c r="U481" s="5">
        <f t="shared" ca="1" si="650"/>
        <v>174636.79114062991</v>
      </c>
      <c r="V481" s="5">
        <f t="shared" ca="1" si="633"/>
        <v>-2387.0764773272963</v>
      </c>
      <c r="W481" s="5">
        <f t="shared" ca="1" si="634"/>
        <v>-582.12263713543302</v>
      </c>
      <c r="X481" s="5">
        <f t="shared" ca="1" si="651"/>
        <v>-1804.9538401918633</v>
      </c>
      <c r="Y481" s="5">
        <f t="shared" ca="1" si="652"/>
        <v>172831.83730043806</v>
      </c>
      <c r="Z481" s="199"/>
      <c r="AA481" s="16">
        <f t="shared" ca="1" si="640"/>
        <v>39</v>
      </c>
      <c r="AB481" s="508">
        <f t="shared" ca="1" si="635"/>
        <v>463</v>
      </c>
      <c r="AC481" s="16">
        <f t="shared" si="673"/>
        <v>39</v>
      </c>
      <c r="AD481" s="17">
        <f t="shared" si="670"/>
        <v>8</v>
      </c>
      <c r="AE481" s="18">
        <f t="shared" ca="1" si="663"/>
        <v>58501</v>
      </c>
      <c r="AF481" s="10">
        <f>IF(Dashboard!$R$24="Float",AF480+Dashboard!$R$24/12,AF480)</f>
        <v>0.06</v>
      </c>
      <c r="AG481" s="14">
        <f t="shared" si="653"/>
        <v>464</v>
      </c>
      <c r="AH481" s="5">
        <f t="shared" si="654"/>
        <v>0</v>
      </c>
      <c r="AI481" s="5">
        <f t="shared" si="637"/>
        <v>0</v>
      </c>
      <c r="AJ481" s="5">
        <f t="shared" si="638"/>
        <v>0</v>
      </c>
      <c r="AK481" s="5">
        <f t="shared" si="655"/>
        <v>0</v>
      </c>
      <c r="AL481" s="5">
        <f t="shared" si="656"/>
        <v>0</v>
      </c>
      <c r="AM481" s="199"/>
      <c r="AN481" s="16">
        <f t="shared" si="674"/>
        <v>40</v>
      </c>
      <c r="AO481" s="17">
        <f t="shared" si="671"/>
        <v>8</v>
      </c>
      <c r="AP481" s="18">
        <f t="shared" ca="1" si="664"/>
        <v>58501</v>
      </c>
      <c r="AQ481" s="10">
        <f>IF(Dashboard!$S$20="Float",AQ480+Dashboard!$T$20/12,AQ480)</f>
        <v>4.4999999999999998E-2</v>
      </c>
      <c r="AR481" s="14">
        <f t="shared" si="657"/>
        <v>464</v>
      </c>
      <c r="AS481" s="5">
        <f t="shared" si="658"/>
        <v>-4.5804950742336742E-10</v>
      </c>
      <c r="AT481" s="5">
        <f t="shared" si="641"/>
        <v>-3.651621227618309E-12</v>
      </c>
      <c r="AU481" s="5">
        <f t="shared" si="642"/>
        <v>1.7176856528376278E-12</v>
      </c>
      <c r="AV481" s="5">
        <f t="shared" si="659"/>
        <v>-5.3693068804559368E-12</v>
      </c>
      <c r="AW481" s="5">
        <f t="shared" si="660"/>
        <v>-4.6341881430382338E-10</v>
      </c>
      <c r="AX481" s="199"/>
    </row>
    <row r="482" spans="1:50">
      <c r="A482" s="73"/>
      <c r="B482" s="572"/>
      <c r="C482" s="16">
        <f t="shared" si="672"/>
        <v>39</v>
      </c>
      <c r="D482" s="17">
        <f t="shared" si="668"/>
        <v>9</v>
      </c>
      <c r="E482" s="18">
        <f t="shared" ca="1" si="661"/>
        <v>58532</v>
      </c>
      <c r="F482" s="10">
        <f>IF(Dashboard!$Q$5="Float",F481+Dashboard!$R$5/12,F481)</f>
        <v>0.04</v>
      </c>
      <c r="G482" s="14">
        <f t="shared" si="643"/>
        <v>465</v>
      </c>
      <c r="H482" s="5">
        <f t="shared" si="644"/>
        <v>0</v>
      </c>
      <c r="I482" s="5">
        <f t="shared" si="629"/>
        <v>0</v>
      </c>
      <c r="J482" s="5">
        <f t="shared" si="630"/>
        <v>0</v>
      </c>
      <c r="K482" s="5">
        <f t="shared" si="645"/>
        <v>0</v>
      </c>
      <c r="L482" s="5">
        <f t="shared" si="646"/>
        <v>0</v>
      </c>
      <c r="M482" s="199"/>
      <c r="N482" s="16">
        <f t="shared" ca="1" si="647"/>
        <v>27</v>
      </c>
      <c r="O482" s="508">
        <f t="shared" ca="1" si="631"/>
        <v>313</v>
      </c>
      <c r="P482" s="16">
        <f t="shared" ca="1" si="632"/>
        <v>27</v>
      </c>
      <c r="Q482" s="17">
        <f t="shared" si="669"/>
        <v>9</v>
      </c>
      <c r="R482" s="18">
        <f t="shared" si="662"/>
        <v>53936</v>
      </c>
      <c r="S482" s="10">
        <f t="shared" si="648"/>
        <v>0.04</v>
      </c>
      <c r="T482" s="14">
        <f t="shared" ca="1" si="649"/>
        <v>278</v>
      </c>
      <c r="U482" s="5">
        <f t="shared" ca="1" si="650"/>
        <v>172831.83730043806</v>
      </c>
      <c r="V482" s="5">
        <f t="shared" ca="1" si="633"/>
        <v>-2387.0764773272963</v>
      </c>
      <c r="W482" s="5">
        <f t="shared" ca="1" si="634"/>
        <v>-576.10612433479355</v>
      </c>
      <c r="X482" s="5">
        <f t="shared" ca="1" si="651"/>
        <v>-1810.9703529925027</v>
      </c>
      <c r="Y482" s="5">
        <f t="shared" ca="1" si="652"/>
        <v>171020.86694744555</v>
      </c>
      <c r="Z482" s="199"/>
      <c r="AA482" s="16">
        <f t="shared" ca="1" si="640"/>
        <v>39</v>
      </c>
      <c r="AB482" s="508">
        <f t="shared" ca="1" si="635"/>
        <v>464</v>
      </c>
      <c r="AC482" s="16">
        <f t="shared" si="673"/>
        <v>39</v>
      </c>
      <c r="AD482" s="17">
        <f t="shared" si="670"/>
        <v>9</v>
      </c>
      <c r="AE482" s="18">
        <f t="shared" ca="1" si="663"/>
        <v>58532</v>
      </c>
      <c r="AF482" s="10">
        <f>IF(Dashboard!$R$24="Float",AF481+Dashboard!$R$24/12,AF481)</f>
        <v>0.06</v>
      </c>
      <c r="AG482" s="14">
        <f t="shared" si="653"/>
        <v>465</v>
      </c>
      <c r="AH482" s="5">
        <f t="shared" si="654"/>
        <v>0</v>
      </c>
      <c r="AI482" s="5">
        <f t="shared" si="637"/>
        <v>0</v>
      </c>
      <c r="AJ482" s="5">
        <f t="shared" si="638"/>
        <v>0</v>
      </c>
      <c r="AK482" s="5">
        <f t="shared" si="655"/>
        <v>0</v>
      </c>
      <c r="AL482" s="5">
        <f t="shared" si="656"/>
        <v>0</v>
      </c>
      <c r="AM482" s="199"/>
      <c r="AN482" s="16">
        <f t="shared" si="674"/>
        <v>40</v>
      </c>
      <c r="AO482" s="17">
        <f t="shared" si="671"/>
        <v>9</v>
      </c>
      <c r="AP482" s="18">
        <f t="shared" ca="1" si="664"/>
        <v>58532</v>
      </c>
      <c r="AQ482" s="10">
        <f>IF(Dashboard!$S$20="Float",AQ481+Dashboard!$T$20/12,AQ481)</f>
        <v>4.4999999999999998E-2</v>
      </c>
      <c r="AR482" s="14">
        <f t="shared" si="657"/>
        <v>465</v>
      </c>
      <c r="AS482" s="5">
        <f t="shared" si="658"/>
        <v>-4.6341881430382338E-10</v>
      </c>
      <c r="AT482" s="5">
        <f t="shared" si="641"/>
        <v>-3.6516212276183098E-12</v>
      </c>
      <c r="AU482" s="5">
        <f t="shared" si="642"/>
        <v>1.7378205536393377E-12</v>
      </c>
      <c r="AV482" s="5">
        <f t="shared" si="659"/>
        <v>-5.3894417812576475E-12</v>
      </c>
      <c r="AW482" s="5">
        <f t="shared" si="660"/>
        <v>-4.6880825608508099E-10</v>
      </c>
      <c r="AX482" s="199"/>
    </row>
    <row r="483" spans="1:50">
      <c r="A483" s="73"/>
      <c r="B483" s="572"/>
      <c r="C483" s="16">
        <f t="shared" si="672"/>
        <v>39</v>
      </c>
      <c r="D483" s="17">
        <f t="shared" si="668"/>
        <v>10</v>
      </c>
      <c r="E483" s="18">
        <f t="shared" ca="1" si="661"/>
        <v>58562</v>
      </c>
      <c r="F483" s="10">
        <f>IF(Dashboard!$Q$5="Float",F482+Dashboard!$R$5/12,F482)</f>
        <v>0.04</v>
      </c>
      <c r="G483" s="14">
        <f t="shared" si="643"/>
        <v>466</v>
      </c>
      <c r="H483" s="5">
        <f t="shared" si="644"/>
        <v>0</v>
      </c>
      <c r="I483" s="5">
        <f t="shared" si="629"/>
        <v>0</v>
      </c>
      <c r="J483" s="5">
        <f t="shared" si="630"/>
        <v>0</v>
      </c>
      <c r="K483" s="5">
        <f t="shared" si="645"/>
        <v>0</v>
      </c>
      <c r="L483" s="5">
        <f t="shared" si="646"/>
        <v>0</v>
      </c>
      <c r="M483" s="199"/>
      <c r="N483" s="16">
        <f t="shared" ca="1" si="647"/>
        <v>27</v>
      </c>
      <c r="O483" s="508">
        <f t="shared" ca="1" si="631"/>
        <v>314</v>
      </c>
      <c r="P483" s="16">
        <f t="shared" ca="1" si="632"/>
        <v>27</v>
      </c>
      <c r="Q483" s="17">
        <f t="shared" si="669"/>
        <v>10</v>
      </c>
      <c r="R483" s="18">
        <f t="shared" si="662"/>
        <v>53966</v>
      </c>
      <c r="S483" s="10">
        <f t="shared" si="648"/>
        <v>0.04</v>
      </c>
      <c r="T483" s="14">
        <f t="shared" ca="1" si="649"/>
        <v>279</v>
      </c>
      <c r="U483" s="5">
        <f t="shared" ca="1" si="650"/>
        <v>171020.86694744555</v>
      </c>
      <c r="V483" s="5">
        <f t="shared" ca="1" si="633"/>
        <v>-2387.0764773272963</v>
      </c>
      <c r="W483" s="5">
        <f t="shared" ca="1" si="634"/>
        <v>-570.06955649148517</v>
      </c>
      <c r="X483" s="5">
        <f t="shared" ca="1" si="651"/>
        <v>-1817.0069208358111</v>
      </c>
      <c r="Y483" s="5">
        <f t="shared" ca="1" si="652"/>
        <v>169203.86002660973</v>
      </c>
      <c r="Z483" s="199"/>
      <c r="AA483" s="16">
        <f t="shared" ca="1" si="640"/>
        <v>39</v>
      </c>
      <c r="AB483" s="508">
        <f t="shared" ca="1" si="635"/>
        <v>465</v>
      </c>
      <c r="AC483" s="16">
        <f t="shared" si="673"/>
        <v>39</v>
      </c>
      <c r="AD483" s="17">
        <f t="shared" si="670"/>
        <v>10</v>
      </c>
      <c r="AE483" s="18">
        <f t="shared" ca="1" si="663"/>
        <v>58562</v>
      </c>
      <c r="AF483" s="10">
        <f>IF(Dashboard!$R$24="Float",AF482+Dashboard!$R$24/12,AF482)</f>
        <v>0.06</v>
      </c>
      <c r="AG483" s="14">
        <f t="shared" si="653"/>
        <v>466</v>
      </c>
      <c r="AH483" s="5">
        <f t="shared" si="654"/>
        <v>0</v>
      </c>
      <c r="AI483" s="5">
        <f t="shared" si="637"/>
        <v>0</v>
      </c>
      <c r="AJ483" s="5">
        <f t="shared" si="638"/>
        <v>0</v>
      </c>
      <c r="AK483" s="5">
        <f t="shared" si="655"/>
        <v>0</v>
      </c>
      <c r="AL483" s="5">
        <f t="shared" si="656"/>
        <v>0</v>
      </c>
      <c r="AM483" s="199"/>
      <c r="AN483" s="16">
        <f t="shared" si="674"/>
        <v>40</v>
      </c>
      <c r="AO483" s="17">
        <f t="shared" si="671"/>
        <v>10</v>
      </c>
      <c r="AP483" s="18">
        <f t="shared" ca="1" si="664"/>
        <v>58562</v>
      </c>
      <c r="AQ483" s="10">
        <f>IF(Dashboard!$S$20="Float",AQ482+Dashboard!$T$20/12,AQ482)</f>
        <v>4.4999999999999998E-2</v>
      </c>
      <c r="AR483" s="14">
        <f t="shared" si="657"/>
        <v>466</v>
      </c>
      <c r="AS483" s="5">
        <f t="shared" si="658"/>
        <v>-4.6880825608508099E-10</v>
      </c>
      <c r="AT483" s="5">
        <f t="shared" si="641"/>
        <v>-3.651621227618309E-12</v>
      </c>
      <c r="AU483" s="5">
        <f t="shared" si="642"/>
        <v>1.7580309603190536E-12</v>
      </c>
      <c r="AV483" s="5">
        <f t="shared" si="659"/>
        <v>-5.4096521879373626E-12</v>
      </c>
      <c r="AW483" s="5">
        <f t="shared" si="660"/>
        <v>-4.7421790827301835E-10</v>
      </c>
      <c r="AX483" s="199"/>
    </row>
    <row r="484" spans="1:50">
      <c r="A484" s="73"/>
      <c r="B484" s="572"/>
      <c r="C484" s="16">
        <f t="shared" si="672"/>
        <v>39</v>
      </c>
      <c r="D484" s="17">
        <f t="shared" si="668"/>
        <v>11</v>
      </c>
      <c r="E484" s="18">
        <f t="shared" ca="1" si="661"/>
        <v>58593</v>
      </c>
      <c r="F484" s="10">
        <f>IF(Dashboard!$Q$5="Float",F483+Dashboard!$R$5/12,F483)</f>
        <v>0.04</v>
      </c>
      <c r="G484" s="14">
        <f t="shared" si="643"/>
        <v>467</v>
      </c>
      <c r="H484" s="5">
        <f t="shared" si="644"/>
        <v>0</v>
      </c>
      <c r="I484" s="5">
        <f t="shared" si="629"/>
        <v>0</v>
      </c>
      <c r="J484" s="5">
        <f t="shared" si="630"/>
        <v>0</v>
      </c>
      <c r="K484" s="5">
        <f t="shared" si="645"/>
        <v>0</v>
      </c>
      <c r="L484" s="5">
        <f t="shared" si="646"/>
        <v>0</v>
      </c>
      <c r="M484" s="199"/>
      <c r="N484" s="16">
        <f t="shared" ca="1" si="647"/>
        <v>27</v>
      </c>
      <c r="O484" s="508">
        <f t="shared" ca="1" si="631"/>
        <v>315</v>
      </c>
      <c r="P484" s="16">
        <f t="shared" ca="1" si="632"/>
        <v>27</v>
      </c>
      <c r="Q484" s="17">
        <f t="shared" si="669"/>
        <v>11</v>
      </c>
      <c r="R484" s="18">
        <f t="shared" si="662"/>
        <v>53997</v>
      </c>
      <c r="S484" s="10">
        <f t="shared" si="648"/>
        <v>0.04</v>
      </c>
      <c r="T484" s="14">
        <f t="shared" ca="1" si="649"/>
        <v>280</v>
      </c>
      <c r="U484" s="5">
        <f t="shared" ca="1" si="650"/>
        <v>169203.86002660973</v>
      </c>
      <c r="V484" s="5">
        <f t="shared" ca="1" si="633"/>
        <v>-2387.0764773272963</v>
      </c>
      <c r="W484" s="5">
        <f t="shared" ca="1" si="634"/>
        <v>-564.01286675536574</v>
      </c>
      <c r="X484" s="5">
        <f t="shared" ca="1" si="651"/>
        <v>-1823.0636105719304</v>
      </c>
      <c r="Y484" s="5">
        <f t="shared" ca="1" si="652"/>
        <v>167380.7964160378</v>
      </c>
      <c r="Z484" s="199"/>
      <c r="AA484" s="16">
        <f t="shared" ca="1" si="640"/>
        <v>39</v>
      </c>
      <c r="AB484" s="508">
        <f t="shared" ca="1" si="635"/>
        <v>466</v>
      </c>
      <c r="AC484" s="16">
        <f t="shared" si="673"/>
        <v>39</v>
      </c>
      <c r="AD484" s="17">
        <f t="shared" si="670"/>
        <v>11</v>
      </c>
      <c r="AE484" s="18">
        <f t="shared" ca="1" si="663"/>
        <v>58593</v>
      </c>
      <c r="AF484" s="10">
        <f>IF(Dashboard!$R$24="Float",AF483+Dashboard!$R$24/12,AF483)</f>
        <v>0.06</v>
      </c>
      <c r="AG484" s="14">
        <f t="shared" si="653"/>
        <v>467</v>
      </c>
      <c r="AH484" s="5">
        <f t="shared" si="654"/>
        <v>0</v>
      </c>
      <c r="AI484" s="5">
        <f t="shared" si="637"/>
        <v>0</v>
      </c>
      <c r="AJ484" s="5">
        <f t="shared" si="638"/>
        <v>0</v>
      </c>
      <c r="AK484" s="5">
        <f t="shared" si="655"/>
        <v>0</v>
      </c>
      <c r="AL484" s="5">
        <f t="shared" si="656"/>
        <v>0</v>
      </c>
      <c r="AM484" s="199"/>
      <c r="AN484" s="16">
        <f t="shared" si="674"/>
        <v>40</v>
      </c>
      <c r="AO484" s="17">
        <f t="shared" si="671"/>
        <v>11</v>
      </c>
      <c r="AP484" s="18">
        <f t="shared" ca="1" si="664"/>
        <v>58593</v>
      </c>
      <c r="AQ484" s="10">
        <f>IF(Dashboard!$S$20="Float",AQ483+Dashboard!$T$20/12,AQ483)</f>
        <v>4.4999999999999998E-2</v>
      </c>
      <c r="AR484" s="14">
        <f t="shared" si="657"/>
        <v>467</v>
      </c>
      <c r="AS484" s="5">
        <f t="shared" si="658"/>
        <v>-4.7421790827301835E-10</v>
      </c>
      <c r="AT484" s="5">
        <f t="shared" si="641"/>
        <v>-3.6516212276183082E-12</v>
      </c>
      <c r="AU484" s="5">
        <f t="shared" si="642"/>
        <v>1.7783171560238188E-12</v>
      </c>
      <c r="AV484" s="5">
        <f t="shared" si="659"/>
        <v>-5.429938383642127E-12</v>
      </c>
      <c r="AW484" s="5">
        <f t="shared" si="660"/>
        <v>-4.7964784665666049E-10</v>
      </c>
      <c r="AX484" s="199"/>
    </row>
    <row r="485" spans="1:50">
      <c r="A485" s="73"/>
      <c r="B485" s="572"/>
      <c r="C485" s="16">
        <f t="shared" si="672"/>
        <v>39</v>
      </c>
      <c r="D485" s="17">
        <f t="shared" si="668"/>
        <v>12</v>
      </c>
      <c r="E485" s="18">
        <f t="shared" ca="1" si="661"/>
        <v>58623</v>
      </c>
      <c r="F485" s="10">
        <f>IF(Dashboard!$Q$5="Float",F484+Dashboard!$R$5/12,F484)</f>
        <v>0.04</v>
      </c>
      <c r="G485" s="14">
        <f t="shared" si="643"/>
        <v>468</v>
      </c>
      <c r="H485" s="5">
        <f t="shared" si="644"/>
        <v>0</v>
      </c>
      <c r="I485" s="5">
        <f t="shared" si="629"/>
        <v>0</v>
      </c>
      <c r="J485" s="5">
        <f t="shared" si="630"/>
        <v>0</v>
      </c>
      <c r="K485" s="5">
        <f t="shared" si="645"/>
        <v>0</v>
      </c>
      <c r="L485" s="5">
        <f t="shared" si="646"/>
        <v>0</v>
      </c>
      <c r="M485" s="199"/>
      <c r="N485" s="16">
        <f t="shared" ca="1" si="647"/>
        <v>27</v>
      </c>
      <c r="O485" s="508">
        <f t="shared" ca="1" si="631"/>
        <v>316</v>
      </c>
      <c r="P485" s="16">
        <f t="shared" ca="1" si="632"/>
        <v>27</v>
      </c>
      <c r="Q485" s="17">
        <f t="shared" si="669"/>
        <v>12</v>
      </c>
      <c r="R485" s="18">
        <f t="shared" si="662"/>
        <v>54027</v>
      </c>
      <c r="S485" s="10">
        <f t="shared" si="648"/>
        <v>0.04</v>
      </c>
      <c r="T485" s="14">
        <f t="shared" ca="1" si="649"/>
        <v>281</v>
      </c>
      <c r="U485" s="5">
        <f t="shared" ca="1" si="650"/>
        <v>167380.7964160378</v>
      </c>
      <c r="V485" s="5">
        <f t="shared" ca="1" si="633"/>
        <v>-2387.0764773272963</v>
      </c>
      <c r="W485" s="5">
        <f t="shared" ca="1" si="634"/>
        <v>-557.93598805345937</v>
      </c>
      <c r="X485" s="5">
        <f t="shared" ca="1" si="651"/>
        <v>-1829.1404892738369</v>
      </c>
      <c r="Y485" s="5">
        <f t="shared" ca="1" si="652"/>
        <v>165551.65592676395</v>
      </c>
      <c r="Z485" s="199"/>
      <c r="AA485" s="16">
        <f t="shared" ca="1" si="640"/>
        <v>39</v>
      </c>
      <c r="AB485" s="508">
        <f t="shared" ca="1" si="635"/>
        <v>467</v>
      </c>
      <c r="AC485" s="16">
        <f t="shared" si="673"/>
        <v>39</v>
      </c>
      <c r="AD485" s="17">
        <f t="shared" si="670"/>
        <v>12</v>
      </c>
      <c r="AE485" s="18">
        <f t="shared" ca="1" si="663"/>
        <v>58623</v>
      </c>
      <c r="AF485" s="10">
        <f>IF(Dashboard!$R$24="Float",AF484+Dashboard!$R$24/12,AF484)</f>
        <v>0.06</v>
      </c>
      <c r="AG485" s="14">
        <f t="shared" si="653"/>
        <v>468</v>
      </c>
      <c r="AH485" s="5">
        <f t="shared" si="654"/>
        <v>0</v>
      </c>
      <c r="AI485" s="5">
        <f t="shared" si="637"/>
        <v>0</v>
      </c>
      <c r="AJ485" s="5">
        <f t="shared" si="638"/>
        <v>0</v>
      </c>
      <c r="AK485" s="5">
        <f t="shared" si="655"/>
        <v>0</v>
      </c>
      <c r="AL485" s="5">
        <f t="shared" si="656"/>
        <v>0</v>
      </c>
      <c r="AM485" s="199"/>
      <c r="AN485" s="16">
        <f t="shared" si="674"/>
        <v>40</v>
      </c>
      <c r="AO485" s="17">
        <f t="shared" si="671"/>
        <v>12</v>
      </c>
      <c r="AP485" s="18">
        <f t="shared" ca="1" si="664"/>
        <v>58623</v>
      </c>
      <c r="AQ485" s="10">
        <f>IF(Dashboard!$S$20="Float",AQ484+Dashboard!$T$20/12,AQ484)</f>
        <v>4.4999999999999998E-2</v>
      </c>
      <c r="AR485" s="14">
        <f t="shared" si="657"/>
        <v>468</v>
      </c>
      <c r="AS485" s="5">
        <f t="shared" si="658"/>
        <v>-4.7964784665666049E-10</v>
      </c>
      <c r="AT485" s="5">
        <f t="shared" si="641"/>
        <v>-3.651621227618309E-12</v>
      </c>
      <c r="AU485" s="5">
        <f t="shared" si="642"/>
        <v>1.7986794249624768E-12</v>
      </c>
      <c r="AV485" s="5">
        <f t="shared" si="659"/>
        <v>-5.450300652580786E-12</v>
      </c>
      <c r="AW485" s="5">
        <f t="shared" si="660"/>
        <v>-4.8509814730924127E-10</v>
      </c>
      <c r="AX485" s="199"/>
    </row>
    <row r="486" spans="1:50" ht="12.75" customHeight="1">
      <c r="A486" s="73"/>
      <c r="B486" s="570">
        <f>+C486</f>
        <v>40</v>
      </c>
      <c r="C486" s="200">
        <f t="shared" ref="C486" si="675">+C485+1</f>
        <v>40</v>
      </c>
      <c r="D486" s="201">
        <v>1</v>
      </c>
      <c r="E486" s="202">
        <f t="shared" ca="1" si="661"/>
        <v>58654</v>
      </c>
      <c r="F486" s="203">
        <f>IF(Dashboard!$Q$5="Float",F485+Dashboard!$R$5/12,F485)</f>
        <v>0.04</v>
      </c>
      <c r="G486" s="204">
        <f t="shared" si="643"/>
        <v>469</v>
      </c>
      <c r="H486" s="205">
        <f t="shared" si="644"/>
        <v>0</v>
      </c>
      <c r="I486" s="205">
        <f t="shared" si="629"/>
        <v>0</v>
      </c>
      <c r="J486" s="205">
        <f t="shared" si="630"/>
        <v>0</v>
      </c>
      <c r="K486" s="205">
        <f t="shared" si="645"/>
        <v>0</v>
      </c>
      <c r="L486" s="205">
        <f t="shared" si="646"/>
        <v>0</v>
      </c>
      <c r="M486" s="199"/>
      <c r="N486" s="200">
        <f t="shared" ca="1" si="647"/>
        <v>27</v>
      </c>
      <c r="O486" s="509">
        <f t="shared" ca="1" si="631"/>
        <v>317</v>
      </c>
      <c r="P486" s="200">
        <f t="shared" ca="1" si="632"/>
        <v>27</v>
      </c>
      <c r="Q486" s="201">
        <v>1</v>
      </c>
      <c r="R486" s="202">
        <f t="shared" si="662"/>
        <v>54058</v>
      </c>
      <c r="S486" s="203">
        <f t="shared" si="648"/>
        <v>0.04</v>
      </c>
      <c r="T486" s="204">
        <f t="shared" ca="1" si="649"/>
        <v>282</v>
      </c>
      <c r="U486" s="205">
        <f t="shared" ca="1" si="650"/>
        <v>165551.65592676395</v>
      </c>
      <c r="V486" s="205">
        <f t="shared" ca="1" si="633"/>
        <v>-2387.0764773272958</v>
      </c>
      <c r="W486" s="205">
        <f t="shared" ca="1" si="634"/>
        <v>-551.83885308921322</v>
      </c>
      <c r="X486" s="205">
        <f t="shared" ca="1" si="651"/>
        <v>-1835.2376242380826</v>
      </c>
      <c r="Y486" s="205">
        <f t="shared" ca="1" si="652"/>
        <v>163716.41830252588</v>
      </c>
      <c r="Z486" s="199"/>
      <c r="AA486" s="200">
        <f t="shared" ca="1" si="640"/>
        <v>39</v>
      </c>
      <c r="AB486" s="509">
        <f t="shared" ca="1" si="635"/>
        <v>468</v>
      </c>
      <c r="AC486" s="200">
        <f t="shared" ref="AC486" si="676">+AC485+1</f>
        <v>40</v>
      </c>
      <c r="AD486" s="201">
        <v>1</v>
      </c>
      <c r="AE486" s="202">
        <f t="shared" ca="1" si="663"/>
        <v>58654</v>
      </c>
      <c r="AF486" s="203">
        <f>IF(Dashboard!$R$24="Float",AF485+Dashboard!$R$24/12,AF485)</f>
        <v>0.06</v>
      </c>
      <c r="AG486" s="204">
        <f t="shared" si="653"/>
        <v>469</v>
      </c>
      <c r="AH486" s="205">
        <f t="shared" si="654"/>
        <v>0</v>
      </c>
      <c r="AI486" s="205">
        <f t="shared" si="637"/>
        <v>0</v>
      </c>
      <c r="AJ486" s="205">
        <f t="shared" si="638"/>
        <v>0</v>
      </c>
      <c r="AK486" s="205">
        <f t="shared" si="655"/>
        <v>0</v>
      </c>
      <c r="AL486" s="205">
        <f t="shared" si="656"/>
        <v>0</v>
      </c>
      <c r="AM486" s="199"/>
      <c r="AN486" s="200">
        <f t="shared" ref="AN486" si="677">+AN485+1</f>
        <v>41</v>
      </c>
      <c r="AO486" s="201">
        <v>1</v>
      </c>
      <c r="AP486" s="202">
        <f t="shared" ca="1" si="664"/>
        <v>58654</v>
      </c>
      <c r="AQ486" s="203">
        <f>IF(Dashboard!$S$20="Float",AQ485+Dashboard!$T$20/12,AQ485)</f>
        <v>4.4999999999999998E-2</v>
      </c>
      <c r="AR486" s="204">
        <f t="shared" si="657"/>
        <v>469</v>
      </c>
      <c r="AS486" s="205">
        <f t="shared" si="658"/>
        <v>-4.8509814730924127E-10</v>
      </c>
      <c r="AT486" s="205">
        <f t="shared" si="641"/>
        <v>-3.651621227618309E-12</v>
      </c>
      <c r="AU486" s="205">
        <f t="shared" si="642"/>
        <v>1.8191180524096548E-12</v>
      </c>
      <c r="AV486" s="205">
        <f t="shared" si="659"/>
        <v>-5.4707392800279634E-12</v>
      </c>
      <c r="AW486" s="205">
        <f t="shared" si="660"/>
        <v>-4.9056888658926923E-10</v>
      </c>
      <c r="AX486" s="199"/>
    </row>
    <row r="487" spans="1:50">
      <c r="A487" s="73"/>
      <c r="B487" s="570"/>
      <c r="C487" s="200">
        <f>+C486</f>
        <v>40</v>
      </c>
      <c r="D487" s="201">
        <f>+D486+1</f>
        <v>2</v>
      </c>
      <c r="E487" s="202">
        <f t="shared" ca="1" si="661"/>
        <v>58685</v>
      </c>
      <c r="F487" s="203">
        <f>IF(Dashboard!$Q$5="Float",F486+Dashboard!$R$5/12,F486)</f>
        <v>0.04</v>
      </c>
      <c r="G487" s="204">
        <f t="shared" si="643"/>
        <v>470</v>
      </c>
      <c r="H487" s="205">
        <f t="shared" si="644"/>
        <v>0</v>
      </c>
      <c r="I487" s="205">
        <f t="shared" si="629"/>
        <v>0</v>
      </c>
      <c r="J487" s="205">
        <f t="shared" si="630"/>
        <v>0</v>
      </c>
      <c r="K487" s="205">
        <f t="shared" si="645"/>
        <v>0</v>
      </c>
      <c r="L487" s="205">
        <f t="shared" si="646"/>
        <v>0</v>
      </c>
      <c r="M487" s="199"/>
      <c r="N487" s="200">
        <f t="shared" ca="1" si="647"/>
        <v>27</v>
      </c>
      <c r="O487" s="509">
        <f t="shared" ca="1" si="631"/>
        <v>318</v>
      </c>
      <c r="P487" s="200">
        <f t="shared" ca="1" si="632"/>
        <v>27</v>
      </c>
      <c r="Q487" s="201">
        <f>+Q486+1</f>
        <v>2</v>
      </c>
      <c r="R487" s="202">
        <f t="shared" si="662"/>
        <v>54089</v>
      </c>
      <c r="S487" s="203">
        <f t="shared" si="648"/>
        <v>0.04</v>
      </c>
      <c r="T487" s="204">
        <f t="shared" ca="1" si="649"/>
        <v>283</v>
      </c>
      <c r="U487" s="205">
        <f t="shared" ca="1" si="650"/>
        <v>163716.41830252588</v>
      </c>
      <c r="V487" s="205">
        <f t="shared" ca="1" si="633"/>
        <v>-2387.0764773272963</v>
      </c>
      <c r="W487" s="205">
        <f t="shared" ca="1" si="634"/>
        <v>-545.7213943417529</v>
      </c>
      <c r="X487" s="205">
        <f t="shared" ca="1" si="651"/>
        <v>-1841.3550829855435</v>
      </c>
      <c r="Y487" s="205">
        <f t="shared" ca="1" si="652"/>
        <v>161875.06321954035</v>
      </c>
      <c r="Z487" s="199"/>
      <c r="AA487" s="200">
        <f t="shared" ca="1" si="640"/>
        <v>40</v>
      </c>
      <c r="AB487" s="509">
        <f t="shared" ca="1" si="635"/>
        <v>469</v>
      </c>
      <c r="AC487" s="200">
        <f>+AC486</f>
        <v>40</v>
      </c>
      <c r="AD487" s="201">
        <f>+AD486+1</f>
        <v>2</v>
      </c>
      <c r="AE487" s="202">
        <f t="shared" ca="1" si="663"/>
        <v>58685</v>
      </c>
      <c r="AF487" s="203">
        <f>IF(Dashboard!$R$24="Float",AF486+Dashboard!$R$24/12,AF486)</f>
        <v>0.06</v>
      </c>
      <c r="AG487" s="204">
        <f t="shared" si="653"/>
        <v>470</v>
      </c>
      <c r="AH487" s="205">
        <f t="shared" si="654"/>
        <v>0</v>
      </c>
      <c r="AI487" s="205">
        <f t="shared" si="637"/>
        <v>0</v>
      </c>
      <c r="AJ487" s="205">
        <f t="shared" si="638"/>
        <v>0</v>
      </c>
      <c r="AK487" s="205">
        <f t="shared" si="655"/>
        <v>0</v>
      </c>
      <c r="AL487" s="205">
        <f t="shared" si="656"/>
        <v>0</v>
      </c>
      <c r="AM487" s="199"/>
      <c r="AN487" s="200">
        <f>+AN486</f>
        <v>41</v>
      </c>
      <c r="AO487" s="201">
        <f>+AO486+1</f>
        <v>2</v>
      </c>
      <c r="AP487" s="202">
        <f t="shared" ca="1" si="664"/>
        <v>58685</v>
      </c>
      <c r="AQ487" s="203">
        <f>IF(Dashboard!$S$20="Float",AQ486+Dashboard!$T$20/12,AQ486)</f>
        <v>4.4999999999999998E-2</v>
      </c>
      <c r="AR487" s="204">
        <f t="shared" si="657"/>
        <v>470</v>
      </c>
      <c r="AS487" s="205">
        <f t="shared" si="658"/>
        <v>-4.9056888658926923E-10</v>
      </c>
      <c r="AT487" s="205">
        <f t="shared" si="641"/>
        <v>-3.6516212276183082E-12</v>
      </c>
      <c r="AU487" s="205">
        <f t="shared" si="642"/>
        <v>1.8396333247097596E-12</v>
      </c>
      <c r="AV487" s="205">
        <f t="shared" si="659"/>
        <v>-5.4912545523280682E-12</v>
      </c>
      <c r="AW487" s="205">
        <f t="shared" si="660"/>
        <v>-4.9606014114159728E-10</v>
      </c>
      <c r="AX487" s="199"/>
    </row>
    <row r="488" spans="1:50">
      <c r="A488" s="73"/>
      <c r="B488" s="570"/>
      <c r="C488" s="200">
        <f>+C487</f>
        <v>40</v>
      </c>
      <c r="D488" s="201">
        <f>+D487+1</f>
        <v>3</v>
      </c>
      <c r="E488" s="202">
        <f t="shared" ca="1" si="661"/>
        <v>58715</v>
      </c>
      <c r="F488" s="203">
        <f>IF(Dashboard!$Q$5="Float",F487+Dashboard!$R$5/12,F487)</f>
        <v>0.04</v>
      </c>
      <c r="G488" s="204">
        <f t="shared" si="643"/>
        <v>471</v>
      </c>
      <c r="H488" s="205">
        <f t="shared" si="644"/>
        <v>0</v>
      </c>
      <c r="I488" s="205">
        <f t="shared" si="629"/>
        <v>0</v>
      </c>
      <c r="J488" s="205">
        <f t="shared" si="630"/>
        <v>0</v>
      </c>
      <c r="K488" s="205">
        <f t="shared" si="645"/>
        <v>0</v>
      </c>
      <c r="L488" s="205">
        <f t="shared" si="646"/>
        <v>0</v>
      </c>
      <c r="M488" s="199"/>
      <c r="N488" s="200">
        <f t="shared" ca="1" si="647"/>
        <v>27</v>
      </c>
      <c r="O488" s="509">
        <f t="shared" ca="1" si="631"/>
        <v>319</v>
      </c>
      <c r="P488" s="200">
        <f t="shared" ca="1" si="632"/>
        <v>27</v>
      </c>
      <c r="Q488" s="201">
        <f>+Q487+1</f>
        <v>3</v>
      </c>
      <c r="R488" s="202">
        <f t="shared" si="662"/>
        <v>54118</v>
      </c>
      <c r="S488" s="203">
        <f t="shared" si="648"/>
        <v>0.04</v>
      </c>
      <c r="T488" s="204">
        <f t="shared" ca="1" si="649"/>
        <v>284</v>
      </c>
      <c r="U488" s="205">
        <f t="shared" ca="1" si="650"/>
        <v>161875.06321954035</v>
      </c>
      <c r="V488" s="205">
        <f t="shared" ca="1" si="633"/>
        <v>-2387.0764773272963</v>
      </c>
      <c r="W488" s="205">
        <f t="shared" ca="1" si="634"/>
        <v>-539.58354406513456</v>
      </c>
      <c r="X488" s="205">
        <f t="shared" ca="1" si="651"/>
        <v>-1847.4929332621618</v>
      </c>
      <c r="Y488" s="205">
        <f t="shared" ca="1" si="652"/>
        <v>160027.57028627818</v>
      </c>
      <c r="Z488" s="199"/>
      <c r="AA488" s="200">
        <f t="shared" ca="1" si="640"/>
        <v>40</v>
      </c>
      <c r="AB488" s="509">
        <f t="shared" ca="1" si="635"/>
        <v>470</v>
      </c>
      <c r="AC488" s="200">
        <f>+AC487</f>
        <v>40</v>
      </c>
      <c r="AD488" s="201">
        <f>+AD487+1</f>
        <v>3</v>
      </c>
      <c r="AE488" s="202">
        <f t="shared" ca="1" si="663"/>
        <v>58715</v>
      </c>
      <c r="AF488" s="203">
        <f>IF(Dashboard!$R$24="Float",AF487+Dashboard!$R$24/12,AF487)</f>
        <v>0.06</v>
      </c>
      <c r="AG488" s="204">
        <f t="shared" si="653"/>
        <v>471</v>
      </c>
      <c r="AH488" s="205">
        <f t="shared" si="654"/>
        <v>0</v>
      </c>
      <c r="AI488" s="205">
        <f t="shared" si="637"/>
        <v>0</v>
      </c>
      <c r="AJ488" s="205">
        <f t="shared" si="638"/>
        <v>0</v>
      </c>
      <c r="AK488" s="205">
        <f t="shared" si="655"/>
        <v>0</v>
      </c>
      <c r="AL488" s="205">
        <f t="shared" si="656"/>
        <v>0</v>
      </c>
      <c r="AM488" s="199"/>
      <c r="AN488" s="200">
        <f>+AN487</f>
        <v>41</v>
      </c>
      <c r="AO488" s="201">
        <f>+AO487+1</f>
        <v>3</v>
      </c>
      <c r="AP488" s="202">
        <f t="shared" ca="1" si="664"/>
        <v>58715</v>
      </c>
      <c r="AQ488" s="203">
        <f>IF(Dashboard!$S$20="Float",AQ487+Dashboard!$T$20/12,AQ487)</f>
        <v>4.4999999999999998E-2</v>
      </c>
      <c r="AR488" s="204">
        <f t="shared" si="657"/>
        <v>471</v>
      </c>
      <c r="AS488" s="205">
        <f t="shared" si="658"/>
        <v>-4.9606014114159728E-10</v>
      </c>
      <c r="AT488" s="205">
        <f t="shared" si="641"/>
        <v>-3.6516212276183082E-12</v>
      </c>
      <c r="AU488" s="205">
        <f t="shared" si="642"/>
        <v>1.8602255292809895E-12</v>
      </c>
      <c r="AV488" s="205">
        <f t="shared" si="659"/>
        <v>-5.5118467568992973E-12</v>
      </c>
      <c r="AW488" s="205">
        <f t="shared" si="660"/>
        <v>-5.0157198789849661E-10</v>
      </c>
      <c r="AX488" s="199"/>
    </row>
    <row r="489" spans="1:50">
      <c r="A489" s="73"/>
      <c r="B489" s="570"/>
      <c r="C489" s="200">
        <f>+C488</f>
        <v>40</v>
      </c>
      <c r="D489" s="201">
        <f t="shared" ref="D489:D497" si="678">+D488+1</f>
        <v>4</v>
      </c>
      <c r="E489" s="202">
        <f t="shared" ca="1" si="661"/>
        <v>58746</v>
      </c>
      <c r="F489" s="203">
        <f>IF(Dashboard!$Q$5="Float",F488+Dashboard!$R$5/12,F488)</f>
        <v>0.04</v>
      </c>
      <c r="G489" s="204">
        <f t="shared" si="643"/>
        <v>472</v>
      </c>
      <c r="H489" s="205">
        <f t="shared" si="644"/>
        <v>0</v>
      </c>
      <c r="I489" s="205">
        <f t="shared" si="629"/>
        <v>0</v>
      </c>
      <c r="J489" s="205">
        <f t="shared" si="630"/>
        <v>0</v>
      </c>
      <c r="K489" s="205">
        <f t="shared" si="645"/>
        <v>0</v>
      </c>
      <c r="L489" s="205">
        <f t="shared" si="646"/>
        <v>0</v>
      </c>
      <c r="M489" s="199"/>
      <c r="N489" s="200">
        <f t="shared" ca="1" si="647"/>
        <v>27</v>
      </c>
      <c r="O489" s="509">
        <f t="shared" ca="1" si="631"/>
        <v>320</v>
      </c>
      <c r="P489" s="200">
        <f t="shared" ca="1" si="632"/>
        <v>27</v>
      </c>
      <c r="Q489" s="201">
        <f t="shared" ref="Q489:Q497" si="679">+Q488+1</f>
        <v>4</v>
      </c>
      <c r="R489" s="202">
        <f t="shared" si="662"/>
        <v>54149</v>
      </c>
      <c r="S489" s="203">
        <f t="shared" si="648"/>
        <v>0.04</v>
      </c>
      <c r="T489" s="204">
        <f t="shared" ca="1" si="649"/>
        <v>285</v>
      </c>
      <c r="U489" s="205">
        <f t="shared" ca="1" si="650"/>
        <v>160027.57028627818</v>
      </c>
      <c r="V489" s="205">
        <f t="shared" ca="1" si="633"/>
        <v>-2387.0764773272963</v>
      </c>
      <c r="W489" s="205">
        <f t="shared" ca="1" si="634"/>
        <v>-533.42523428759398</v>
      </c>
      <c r="X489" s="205">
        <f t="shared" ca="1" si="651"/>
        <v>-1853.6512430397024</v>
      </c>
      <c r="Y489" s="205">
        <f t="shared" ca="1" si="652"/>
        <v>158173.91904323848</v>
      </c>
      <c r="Z489" s="199"/>
      <c r="AA489" s="200">
        <f t="shared" ca="1" si="640"/>
        <v>40</v>
      </c>
      <c r="AB489" s="509">
        <f t="shared" ca="1" si="635"/>
        <v>471</v>
      </c>
      <c r="AC489" s="200">
        <f>+AC488</f>
        <v>40</v>
      </c>
      <c r="AD489" s="201">
        <f t="shared" ref="AD489:AD497" si="680">+AD488+1</f>
        <v>4</v>
      </c>
      <c r="AE489" s="202">
        <f t="shared" ca="1" si="663"/>
        <v>58746</v>
      </c>
      <c r="AF489" s="203">
        <f>IF(Dashboard!$R$24="Float",AF488+Dashboard!$R$24/12,AF488)</f>
        <v>0.06</v>
      </c>
      <c r="AG489" s="204">
        <f t="shared" si="653"/>
        <v>472</v>
      </c>
      <c r="AH489" s="205">
        <f t="shared" si="654"/>
        <v>0</v>
      </c>
      <c r="AI489" s="205">
        <f t="shared" si="637"/>
        <v>0</v>
      </c>
      <c r="AJ489" s="205">
        <f t="shared" si="638"/>
        <v>0</v>
      </c>
      <c r="AK489" s="205">
        <f t="shared" si="655"/>
        <v>0</v>
      </c>
      <c r="AL489" s="205">
        <f t="shared" si="656"/>
        <v>0</v>
      </c>
      <c r="AM489" s="199"/>
      <c r="AN489" s="200">
        <f>+AN488</f>
        <v>41</v>
      </c>
      <c r="AO489" s="201">
        <f t="shared" ref="AO489:AO497" si="681">+AO488+1</f>
        <v>4</v>
      </c>
      <c r="AP489" s="202">
        <f t="shared" ca="1" si="664"/>
        <v>58746</v>
      </c>
      <c r="AQ489" s="203">
        <f>IF(Dashboard!$S$20="Float",AQ488+Dashboard!$T$20/12,AQ488)</f>
        <v>4.4999999999999998E-2</v>
      </c>
      <c r="AR489" s="204">
        <f t="shared" si="657"/>
        <v>472</v>
      </c>
      <c r="AS489" s="205">
        <f t="shared" si="658"/>
        <v>-5.0157198789849661E-10</v>
      </c>
      <c r="AT489" s="205">
        <f t="shared" si="641"/>
        <v>-3.651621227618309E-12</v>
      </c>
      <c r="AU489" s="205">
        <f t="shared" si="642"/>
        <v>1.880894954619362E-12</v>
      </c>
      <c r="AV489" s="205">
        <f t="shared" si="659"/>
        <v>-5.5325161822376706E-12</v>
      </c>
      <c r="AW489" s="205">
        <f t="shared" si="660"/>
        <v>-5.0710450408073428E-10</v>
      </c>
      <c r="AX489" s="199"/>
    </row>
    <row r="490" spans="1:50">
      <c r="A490" s="73"/>
      <c r="B490" s="570"/>
      <c r="C490" s="200">
        <f t="shared" ref="C490:C497" si="682">+C489</f>
        <v>40</v>
      </c>
      <c r="D490" s="201">
        <f t="shared" si="678"/>
        <v>5</v>
      </c>
      <c r="E490" s="202">
        <f t="shared" ca="1" si="661"/>
        <v>58776</v>
      </c>
      <c r="F490" s="203">
        <f>IF(Dashboard!$Q$5="Float",F489+Dashboard!$R$5/12,F489)</f>
        <v>0.04</v>
      </c>
      <c r="G490" s="204">
        <f t="shared" si="643"/>
        <v>473</v>
      </c>
      <c r="H490" s="205">
        <f t="shared" si="644"/>
        <v>0</v>
      </c>
      <c r="I490" s="205">
        <f t="shared" si="629"/>
        <v>0</v>
      </c>
      <c r="J490" s="205">
        <f t="shared" si="630"/>
        <v>0</v>
      </c>
      <c r="K490" s="205">
        <f t="shared" si="645"/>
        <v>0</v>
      </c>
      <c r="L490" s="205">
        <f t="shared" si="646"/>
        <v>0</v>
      </c>
      <c r="M490" s="199"/>
      <c r="N490" s="200">
        <f t="shared" ca="1" si="647"/>
        <v>27</v>
      </c>
      <c r="O490" s="509">
        <f t="shared" ca="1" si="631"/>
        <v>321</v>
      </c>
      <c r="P490" s="200">
        <f t="shared" ca="1" si="632"/>
        <v>27</v>
      </c>
      <c r="Q490" s="201">
        <f t="shared" si="679"/>
        <v>5</v>
      </c>
      <c r="R490" s="202">
        <f t="shared" si="662"/>
        <v>54179</v>
      </c>
      <c r="S490" s="203">
        <f t="shared" si="648"/>
        <v>0.04</v>
      </c>
      <c r="T490" s="204">
        <f t="shared" ca="1" si="649"/>
        <v>286</v>
      </c>
      <c r="U490" s="205">
        <f t="shared" ca="1" si="650"/>
        <v>158173.91904323848</v>
      </c>
      <c r="V490" s="205">
        <f t="shared" ca="1" si="633"/>
        <v>-2387.0764773272963</v>
      </c>
      <c r="W490" s="205">
        <f t="shared" ca="1" si="634"/>
        <v>-527.24639681079498</v>
      </c>
      <c r="X490" s="205">
        <f t="shared" ca="1" si="651"/>
        <v>-1859.8300805165013</v>
      </c>
      <c r="Y490" s="205">
        <f t="shared" ca="1" si="652"/>
        <v>156314.08896272199</v>
      </c>
      <c r="Z490" s="199"/>
      <c r="AA490" s="200">
        <f t="shared" ca="1" si="640"/>
        <v>40</v>
      </c>
      <c r="AB490" s="509">
        <f t="shared" ca="1" si="635"/>
        <v>472</v>
      </c>
      <c r="AC490" s="200">
        <f t="shared" ref="AC490:AC497" si="683">+AC489</f>
        <v>40</v>
      </c>
      <c r="AD490" s="201">
        <f t="shared" si="680"/>
        <v>5</v>
      </c>
      <c r="AE490" s="202">
        <f t="shared" ca="1" si="663"/>
        <v>58776</v>
      </c>
      <c r="AF490" s="203">
        <f>IF(Dashboard!$R$24="Float",AF489+Dashboard!$R$24/12,AF489)</f>
        <v>0.06</v>
      </c>
      <c r="AG490" s="204">
        <f t="shared" si="653"/>
        <v>473</v>
      </c>
      <c r="AH490" s="205">
        <f t="shared" si="654"/>
        <v>0</v>
      </c>
      <c r="AI490" s="205">
        <f t="shared" si="637"/>
        <v>0</v>
      </c>
      <c r="AJ490" s="205">
        <f t="shared" si="638"/>
        <v>0</v>
      </c>
      <c r="AK490" s="205">
        <f t="shared" si="655"/>
        <v>0</v>
      </c>
      <c r="AL490" s="205">
        <f t="shared" si="656"/>
        <v>0</v>
      </c>
      <c r="AM490" s="199"/>
      <c r="AN490" s="200">
        <f t="shared" ref="AN490:AN497" si="684">+AN489</f>
        <v>41</v>
      </c>
      <c r="AO490" s="201">
        <f t="shared" si="681"/>
        <v>5</v>
      </c>
      <c r="AP490" s="202">
        <f t="shared" ca="1" si="664"/>
        <v>58776</v>
      </c>
      <c r="AQ490" s="203">
        <f>IF(Dashboard!$S$20="Float",AQ489+Dashboard!$T$20/12,AQ489)</f>
        <v>4.4999999999999998E-2</v>
      </c>
      <c r="AR490" s="204">
        <f t="shared" si="657"/>
        <v>473</v>
      </c>
      <c r="AS490" s="205">
        <f t="shared" si="658"/>
        <v>-5.0710450408073428E-10</v>
      </c>
      <c r="AT490" s="205">
        <f t="shared" si="641"/>
        <v>-3.651621227618309E-12</v>
      </c>
      <c r="AU490" s="205">
        <f t="shared" si="642"/>
        <v>1.9016418903027535E-12</v>
      </c>
      <c r="AV490" s="205">
        <f t="shared" si="659"/>
        <v>-5.5532631179210629E-12</v>
      </c>
      <c r="AW490" s="205">
        <f t="shared" si="660"/>
        <v>-5.1265776719865531E-10</v>
      </c>
      <c r="AX490" s="199"/>
    </row>
    <row r="491" spans="1:50">
      <c r="A491" s="73"/>
      <c r="B491" s="570"/>
      <c r="C491" s="200">
        <f t="shared" si="682"/>
        <v>40</v>
      </c>
      <c r="D491" s="201">
        <f t="shared" si="678"/>
        <v>6</v>
      </c>
      <c r="E491" s="202">
        <f t="shared" ca="1" si="661"/>
        <v>58807</v>
      </c>
      <c r="F491" s="203">
        <f>IF(Dashboard!$Q$5="Float",F490+Dashboard!$R$5/12,F490)</f>
        <v>0.04</v>
      </c>
      <c r="G491" s="204">
        <f t="shared" si="643"/>
        <v>474</v>
      </c>
      <c r="H491" s="205">
        <f t="shared" si="644"/>
        <v>0</v>
      </c>
      <c r="I491" s="205">
        <f t="shared" si="629"/>
        <v>0</v>
      </c>
      <c r="J491" s="205">
        <f t="shared" si="630"/>
        <v>0</v>
      </c>
      <c r="K491" s="205">
        <f t="shared" si="645"/>
        <v>0</v>
      </c>
      <c r="L491" s="205">
        <f t="shared" si="646"/>
        <v>0</v>
      </c>
      <c r="M491" s="199"/>
      <c r="N491" s="200">
        <f t="shared" ca="1" si="647"/>
        <v>27</v>
      </c>
      <c r="O491" s="509">
        <f t="shared" ca="1" si="631"/>
        <v>322</v>
      </c>
      <c r="P491" s="200">
        <f t="shared" ca="1" si="632"/>
        <v>27</v>
      </c>
      <c r="Q491" s="201">
        <f t="shared" si="679"/>
        <v>6</v>
      </c>
      <c r="R491" s="202">
        <f t="shared" si="662"/>
        <v>54210</v>
      </c>
      <c r="S491" s="203">
        <f t="shared" si="648"/>
        <v>0.04</v>
      </c>
      <c r="T491" s="204">
        <f t="shared" ca="1" si="649"/>
        <v>287</v>
      </c>
      <c r="U491" s="205">
        <f t="shared" ca="1" si="650"/>
        <v>156314.08896272199</v>
      </c>
      <c r="V491" s="205">
        <f t="shared" ca="1" si="633"/>
        <v>-2387.0764773272963</v>
      </c>
      <c r="W491" s="205">
        <f t="shared" ca="1" si="634"/>
        <v>-521.04696320907328</v>
      </c>
      <c r="X491" s="205">
        <f t="shared" ca="1" si="651"/>
        <v>-1866.029514118223</v>
      </c>
      <c r="Y491" s="205">
        <f t="shared" ca="1" si="652"/>
        <v>154448.05944860377</v>
      </c>
      <c r="Z491" s="199"/>
      <c r="AA491" s="200">
        <f t="shared" ca="1" si="640"/>
        <v>40</v>
      </c>
      <c r="AB491" s="509">
        <f t="shared" ca="1" si="635"/>
        <v>473</v>
      </c>
      <c r="AC491" s="200">
        <f t="shared" si="683"/>
        <v>40</v>
      </c>
      <c r="AD491" s="201">
        <f t="shared" si="680"/>
        <v>6</v>
      </c>
      <c r="AE491" s="202">
        <f t="shared" ca="1" si="663"/>
        <v>58807</v>
      </c>
      <c r="AF491" s="203">
        <f>IF(Dashboard!$R$24="Float",AF490+Dashboard!$R$24/12,AF490)</f>
        <v>0.06</v>
      </c>
      <c r="AG491" s="204">
        <f t="shared" si="653"/>
        <v>474</v>
      </c>
      <c r="AH491" s="205">
        <f t="shared" si="654"/>
        <v>0</v>
      </c>
      <c r="AI491" s="205">
        <f t="shared" si="637"/>
        <v>0</v>
      </c>
      <c r="AJ491" s="205">
        <f t="shared" si="638"/>
        <v>0</v>
      </c>
      <c r="AK491" s="205">
        <f t="shared" si="655"/>
        <v>0</v>
      </c>
      <c r="AL491" s="205">
        <f t="shared" si="656"/>
        <v>0</v>
      </c>
      <c r="AM491" s="199"/>
      <c r="AN491" s="200">
        <f t="shared" si="684"/>
        <v>41</v>
      </c>
      <c r="AO491" s="201">
        <f t="shared" si="681"/>
        <v>6</v>
      </c>
      <c r="AP491" s="202">
        <f t="shared" ca="1" si="664"/>
        <v>58807</v>
      </c>
      <c r="AQ491" s="203">
        <f>IF(Dashboard!$S$20="Float",AQ490+Dashboard!$T$20/12,AQ490)</f>
        <v>4.4999999999999998E-2</v>
      </c>
      <c r="AR491" s="204">
        <f t="shared" si="657"/>
        <v>474</v>
      </c>
      <c r="AS491" s="205">
        <f t="shared" si="658"/>
        <v>-5.1265776719865531E-10</v>
      </c>
      <c r="AT491" s="205">
        <f t="shared" si="641"/>
        <v>-3.6516212276183082E-12</v>
      </c>
      <c r="AU491" s="205">
        <f t="shared" si="642"/>
        <v>1.9224666269949573E-12</v>
      </c>
      <c r="AV491" s="205">
        <f t="shared" si="659"/>
        <v>-5.5740878546132655E-12</v>
      </c>
      <c r="AW491" s="205">
        <f t="shared" si="660"/>
        <v>-5.1823185505326854E-10</v>
      </c>
      <c r="AX491" s="199"/>
    </row>
    <row r="492" spans="1:50">
      <c r="A492" s="73"/>
      <c r="B492" s="570"/>
      <c r="C492" s="200">
        <f t="shared" si="682"/>
        <v>40</v>
      </c>
      <c r="D492" s="201">
        <f t="shared" si="678"/>
        <v>7</v>
      </c>
      <c r="E492" s="202">
        <f t="shared" ca="1" si="661"/>
        <v>58838</v>
      </c>
      <c r="F492" s="203">
        <f>IF(Dashboard!$Q$5="Float",F491+Dashboard!$R$5/12,F491)</f>
        <v>0.04</v>
      </c>
      <c r="G492" s="204">
        <f t="shared" si="643"/>
        <v>475</v>
      </c>
      <c r="H492" s="205">
        <f t="shared" si="644"/>
        <v>0</v>
      </c>
      <c r="I492" s="205">
        <f t="shared" si="629"/>
        <v>0</v>
      </c>
      <c r="J492" s="205">
        <f t="shared" si="630"/>
        <v>0</v>
      </c>
      <c r="K492" s="205">
        <f t="shared" si="645"/>
        <v>0</v>
      </c>
      <c r="L492" s="205">
        <f t="shared" si="646"/>
        <v>0</v>
      </c>
      <c r="M492" s="199"/>
      <c r="N492" s="200">
        <f t="shared" ca="1" si="647"/>
        <v>27</v>
      </c>
      <c r="O492" s="509">
        <f t="shared" ca="1" si="631"/>
        <v>323</v>
      </c>
      <c r="P492" s="200">
        <f t="shared" ca="1" si="632"/>
        <v>27</v>
      </c>
      <c r="Q492" s="201">
        <f t="shared" si="679"/>
        <v>7</v>
      </c>
      <c r="R492" s="202">
        <f t="shared" si="662"/>
        <v>54240</v>
      </c>
      <c r="S492" s="203">
        <f t="shared" si="648"/>
        <v>0.04</v>
      </c>
      <c r="T492" s="204">
        <f t="shared" ca="1" si="649"/>
        <v>288</v>
      </c>
      <c r="U492" s="205">
        <f t="shared" ca="1" si="650"/>
        <v>154448.05944860377</v>
      </c>
      <c r="V492" s="205">
        <f t="shared" ca="1" si="633"/>
        <v>-2387.0764773272963</v>
      </c>
      <c r="W492" s="205">
        <f t="shared" ca="1" si="634"/>
        <v>-514.82686482867928</v>
      </c>
      <c r="X492" s="205">
        <f t="shared" ca="1" si="651"/>
        <v>-1872.2496124986169</v>
      </c>
      <c r="Y492" s="205">
        <f t="shared" ca="1" si="652"/>
        <v>152575.80983610515</v>
      </c>
      <c r="Z492" s="199"/>
      <c r="AA492" s="200">
        <f t="shared" ca="1" si="640"/>
        <v>40</v>
      </c>
      <c r="AB492" s="509">
        <f t="shared" ca="1" si="635"/>
        <v>474</v>
      </c>
      <c r="AC492" s="200">
        <f t="shared" si="683"/>
        <v>40</v>
      </c>
      <c r="AD492" s="201">
        <f t="shared" si="680"/>
        <v>7</v>
      </c>
      <c r="AE492" s="202">
        <f t="shared" ca="1" si="663"/>
        <v>58838</v>
      </c>
      <c r="AF492" s="203">
        <f>IF(Dashboard!$R$24="Float",AF491+Dashboard!$R$24/12,AF491)</f>
        <v>0.06</v>
      </c>
      <c r="AG492" s="204">
        <f t="shared" si="653"/>
        <v>475</v>
      </c>
      <c r="AH492" s="205">
        <f t="shared" si="654"/>
        <v>0</v>
      </c>
      <c r="AI492" s="205">
        <f t="shared" si="637"/>
        <v>0</v>
      </c>
      <c r="AJ492" s="205">
        <f t="shared" si="638"/>
        <v>0</v>
      </c>
      <c r="AK492" s="205">
        <f t="shared" si="655"/>
        <v>0</v>
      </c>
      <c r="AL492" s="205">
        <f t="shared" si="656"/>
        <v>0</v>
      </c>
      <c r="AM492" s="199"/>
      <c r="AN492" s="200">
        <f t="shared" si="684"/>
        <v>41</v>
      </c>
      <c r="AO492" s="201">
        <f t="shared" si="681"/>
        <v>7</v>
      </c>
      <c r="AP492" s="202">
        <f t="shared" ca="1" si="664"/>
        <v>58838</v>
      </c>
      <c r="AQ492" s="203">
        <f>IF(Dashboard!$S$20="Float",AQ491+Dashboard!$T$20/12,AQ491)</f>
        <v>4.4999999999999998E-2</v>
      </c>
      <c r="AR492" s="204">
        <f t="shared" si="657"/>
        <v>475</v>
      </c>
      <c r="AS492" s="205">
        <f t="shared" si="658"/>
        <v>-5.1823185505326854E-10</v>
      </c>
      <c r="AT492" s="205">
        <f t="shared" si="641"/>
        <v>-3.6516212276183082E-12</v>
      </c>
      <c r="AU492" s="205">
        <f t="shared" si="642"/>
        <v>1.9433694564497572E-12</v>
      </c>
      <c r="AV492" s="205">
        <f t="shared" si="659"/>
        <v>-5.5949906840680658E-12</v>
      </c>
      <c r="AW492" s="205">
        <f t="shared" si="660"/>
        <v>-5.2382684573733665E-10</v>
      </c>
      <c r="AX492" s="199"/>
    </row>
    <row r="493" spans="1:50">
      <c r="A493" s="73"/>
      <c r="B493" s="570"/>
      <c r="C493" s="200">
        <f t="shared" si="682"/>
        <v>40</v>
      </c>
      <c r="D493" s="201">
        <f t="shared" si="678"/>
        <v>8</v>
      </c>
      <c r="E493" s="202">
        <f t="shared" ca="1" si="661"/>
        <v>58866</v>
      </c>
      <c r="F493" s="203">
        <f>IF(Dashboard!$Q$5="Float",F492+Dashboard!$R$5/12,F492)</f>
        <v>0.04</v>
      </c>
      <c r="G493" s="204">
        <f t="shared" si="643"/>
        <v>476</v>
      </c>
      <c r="H493" s="205">
        <f t="shared" si="644"/>
        <v>0</v>
      </c>
      <c r="I493" s="205">
        <f t="shared" si="629"/>
        <v>0</v>
      </c>
      <c r="J493" s="205">
        <f t="shared" si="630"/>
        <v>0</v>
      </c>
      <c r="K493" s="205">
        <f t="shared" si="645"/>
        <v>0</v>
      </c>
      <c r="L493" s="205">
        <f t="shared" si="646"/>
        <v>0</v>
      </c>
      <c r="M493" s="199"/>
      <c r="N493" s="200">
        <f t="shared" ca="1" si="647"/>
        <v>27</v>
      </c>
      <c r="O493" s="509">
        <f t="shared" ca="1" si="631"/>
        <v>324</v>
      </c>
      <c r="P493" s="200">
        <f t="shared" ca="1" si="632"/>
        <v>28</v>
      </c>
      <c r="Q493" s="201">
        <f t="shared" si="679"/>
        <v>8</v>
      </c>
      <c r="R493" s="202">
        <f t="shared" si="662"/>
        <v>54271</v>
      </c>
      <c r="S493" s="203">
        <f t="shared" si="648"/>
        <v>0.04</v>
      </c>
      <c r="T493" s="204">
        <f t="shared" ca="1" si="649"/>
        <v>289</v>
      </c>
      <c r="U493" s="205">
        <f t="shared" ca="1" si="650"/>
        <v>152575.80983610515</v>
      </c>
      <c r="V493" s="205">
        <f t="shared" ca="1" si="633"/>
        <v>-2387.0764773272963</v>
      </c>
      <c r="W493" s="205">
        <f t="shared" ca="1" si="634"/>
        <v>-508.58603278701713</v>
      </c>
      <c r="X493" s="205">
        <f t="shared" ca="1" si="651"/>
        <v>-1878.4904445402792</v>
      </c>
      <c r="Y493" s="205">
        <f t="shared" ca="1" si="652"/>
        <v>150697.31939156487</v>
      </c>
      <c r="Z493" s="199"/>
      <c r="AA493" s="200">
        <f t="shared" ca="1" si="640"/>
        <v>40</v>
      </c>
      <c r="AB493" s="509">
        <f t="shared" ca="1" si="635"/>
        <v>475</v>
      </c>
      <c r="AC493" s="200">
        <f t="shared" si="683"/>
        <v>40</v>
      </c>
      <c r="AD493" s="201">
        <f t="shared" si="680"/>
        <v>8</v>
      </c>
      <c r="AE493" s="202">
        <f t="shared" ca="1" si="663"/>
        <v>58866</v>
      </c>
      <c r="AF493" s="203">
        <f>IF(Dashboard!$R$24="Float",AF492+Dashboard!$R$24/12,AF492)</f>
        <v>0.06</v>
      </c>
      <c r="AG493" s="204">
        <f t="shared" si="653"/>
        <v>476</v>
      </c>
      <c r="AH493" s="205">
        <f t="shared" si="654"/>
        <v>0</v>
      </c>
      <c r="AI493" s="205">
        <f t="shared" si="637"/>
        <v>0</v>
      </c>
      <c r="AJ493" s="205">
        <f t="shared" si="638"/>
        <v>0</v>
      </c>
      <c r="AK493" s="205">
        <f t="shared" si="655"/>
        <v>0</v>
      </c>
      <c r="AL493" s="205">
        <f t="shared" si="656"/>
        <v>0</v>
      </c>
      <c r="AM493" s="199"/>
      <c r="AN493" s="200">
        <f t="shared" si="684"/>
        <v>41</v>
      </c>
      <c r="AO493" s="201">
        <f t="shared" si="681"/>
        <v>8</v>
      </c>
      <c r="AP493" s="202">
        <f t="shared" ca="1" si="664"/>
        <v>58866</v>
      </c>
      <c r="AQ493" s="203">
        <f>IF(Dashboard!$S$20="Float",AQ492+Dashboard!$T$20/12,AQ492)</f>
        <v>4.4999999999999998E-2</v>
      </c>
      <c r="AR493" s="204">
        <f t="shared" si="657"/>
        <v>476</v>
      </c>
      <c r="AS493" s="205">
        <f t="shared" si="658"/>
        <v>-5.2382684573733665E-10</v>
      </c>
      <c r="AT493" s="205">
        <f t="shared" si="641"/>
        <v>-3.6516212276183082E-12</v>
      </c>
      <c r="AU493" s="205">
        <f t="shared" si="642"/>
        <v>1.9643506715150123E-12</v>
      </c>
      <c r="AV493" s="205">
        <f t="shared" si="659"/>
        <v>-5.6159718991333201E-12</v>
      </c>
      <c r="AW493" s="205">
        <f t="shared" si="660"/>
        <v>-5.2944281763646999E-10</v>
      </c>
      <c r="AX493" s="199"/>
    </row>
    <row r="494" spans="1:50">
      <c r="A494" s="73"/>
      <c r="B494" s="570"/>
      <c r="C494" s="200">
        <f t="shared" si="682"/>
        <v>40</v>
      </c>
      <c r="D494" s="201">
        <f t="shared" si="678"/>
        <v>9</v>
      </c>
      <c r="E494" s="202">
        <f t="shared" ca="1" si="661"/>
        <v>58897</v>
      </c>
      <c r="F494" s="203">
        <f>IF(Dashboard!$Q$5="Float",F493+Dashboard!$R$5/12,F493)</f>
        <v>0.04</v>
      </c>
      <c r="G494" s="204">
        <f t="shared" si="643"/>
        <v>477</v>
      </c>
      <c r="H494" s="205">
        <f t="shared" si="644"/>
        <v>0</v>
      </c>
      <c r="I494" s="205">
        <f t="shared" si="629"/>
        <v>0</v>
      </c>
      <c r="J494" s="205">
        <f t="shared" si="630"/>
        <v>0</v>
      </c>
      <c r="K494" s="205">
        <f t="shared" si="645"/>
        <v>0</v>
      </c>
      <c r="L494" s="205">
        <f t="shared" si="646"/>
        <v>0</v>
      </c>
      <c r="M494" s="199"/>
      <c r="N494" s="200">
        <f t="shared" ca="1" si="647"/>
        <v>28</v>
      </c>
      <c r="O494" s="509">
        <f t="shared" ca="1" si="631"/>
        <v>325</v>
      </c>
      <c r="P494" s="200">
        <f t="shared" ca="1" si="632"/>
        <v>28</v>
      </c>
      <c r="Q494" s="201">
        <f t="shared" si="679"/>
        <v>9</v>
      </c>
      <c r="R494" s="202">
        <f t="shared" si="662"/>
        <v>54302</v>
      </c>
      <c r="S494" s="203">
        <f t="shared" si="648"/>
        <v>0.04</v>
      </c>
      <c r="T494" s="204">
        <f t="shared" ca="1" si="649"/>
        <v>290</v>
      </c>
      <c r="U494" s="205">
        <f t="shared" ca="1" si="650"/>
        <v>150697.31939156487</v>
      </c>
      <c r="V494" s="205">
        <f t="shared" ca="1" si="633"/>
        <v>-2387.0764773272963</v>
      </c>
      <c r="W494" s="205">
        <f t="shared" ca="1" si="634"/>
        <v>-502.32439797188295</v>
      </c>
      <c r="X494" s="205">
        <f t="shared" ca="1" si="651"/>
        <v>-1884.7520793554133</v>
      </c>
      <c r="Y494" s="205">
        <f t="shared" ca="1" si="652"/>
        <v>148812.56731220946</v>
      </c>
      <c r="Z494" s="199"/>
      <c r="AA494" s="200">
        <f t="shared" ca="1" si="640"/>
        <v>40</v>
      </c>
      <c r="AB494" s="509">
        <f t="shared" ca="1" si="635"/>
        <v>476</v>
      </c>
      <c r="AC494" s="200">
        <f t="shared" si="683"/>
        <v>40</v>
      </c>
      <c r="AD494" s="201">
        <f t="shared" si="680"/>
        <v>9</v>
      </c>
      <c r="AE494" s="202">
        <f t="shared" ca="1" si="663"/>
        <v>58897</v>
      </c>
      <c r="AF494" s="203">
        <f>IF(Dashboard!$R$24="Float",AF493+Dashboard!$R$24/12,AF493)</f>
        <v>0.06</v>
      </c>
      <c r="AG494" s="204">
        <f t="shared" si="653"/>
        <v>477</v>
      </c>
      <c r="AH494" s="205">
        <f t="shared" si="654"/>
        <v>0</v>
      </c>
      <c r="AI494" s="205">
        <f t="shared" si="637"/>
        <v>0</v>
      </c>
      <c r="AJ494" s="205">
        <f t="shared" si="638"/>
        <v>0</v>
      </c>
      <c r="AK494" s="205">
        <f t="shared" si="655"/>
        <v>0</v>
      </c>
      <c r="AL494" s="205">
        <f t="shared" si="656"/>
        <v>0</v>
      </c>
      <c r="AM494" s="199"/>
      <c r="AN494" s="200">
        <f t="shared" si="684"/>
        <v>41</v>
      </c>
      <c r="AO494" s="201">
        <f t="shared" si="681"/>
        <v>9</v>
      </c>
      <c r="AP494" s="202">
        <f t="shared" ca="1" si="664"/>
        <v>58897</v>
      </c>
      <c r="AQ494" s="203">
        <f>IF(Dashboard!$S$20="Float",AQ493+Dashboard!$T$20/12,AQ493)</f>
        <v>4.4999999999999998E-2</v>
      </c>
      <c r="AR494" s="204">
        <f t="shared" si="657"/>
        <v>477</v>
      </c>
      <c r="AS494" s="205">
        <f t="shared" si="658"/>
        <v>-5.2944281763646999E-10</v>
      </c>
      <c r="AT494" s="205">
        <f t="shared" si="641"/>
        <v>-3.651621227618309E-12</v>
      </c>
      <c r="AU494" s="205">
        <f t="shared" si="642"/>
        <v>1.9854105661367622E-12</v>
      </c>
      <c r="AV494" s="205">
        <f t="shared" si="659"/>
        <v>-5.6370317937550708E-12</v>
      </c>
      <c r="AW494" s="205">
        <f t="shared" si="660"/>
        <v>-5.350798494302251E-10</v>
      </c>
      <c r="AX494" s="199"/>
    </row>
    <row r="495" spans="1:50">
      <c r="A495" s="73"/>
      <c r="B495" s="570"/>
      <c r="C495" s="200">
        <f t="shared" si="682"/>
        <v>40</v>
      </c>
      <c r="D495" s="201">
        <f t="shared" si="678"/>
        <v>10</v>
      </c>
      <c r="E495" s="202">
        <f t="shared" ca="1" si="661"/>
        <v>58927</v>
      </c>
      <c r="F495" s="203">
        <f>IF(Dashboard!$Q$5="Float",F494+Dashboard!$R$5/12,F494)</f>
        <v>0.04</v>
      </c>
      <c r="G495" s="204">
        <f t="shared" si="643"/>
        <v>478</v>
      </c>
      <c r="H495" s="205">
        <f t="shared" si="644"/>
        <v>0</v>
      </c>
      <c r="I495" s="205">
        <f t="shared" si="629"/>
        <v>0</v>
      </c>
      <c r="J495" s="205">
        <f t="shared" si="630"/>
        <v>0</v>
      </c>
      <c r="K495" s="205">
        <f t="shared" si="645"/>
        <v>0</v>
      </c>
      <c r="L495" s="205">
        <f t="shared" si="646"/>
        <v>0</v>
      </c>
      <c r="M495" s="199"/>
      <c r="N495" s="200">
        <f t="shared" ca="1" si="647"/>
        <v>28</v>
      </c>
      <c r="O495" s="509">
        <f t="shared" ca="1" si="631"/>
        <v>326</v>
      </c>
      <c r="P495" s="200">
        <f t="shared" ca="1" si="632"/>
        <v>28</v>
      </c>
      <c r="Q495" s="201">
        <f t="shared" si="679"/>
        <v>10</v>
      </c>
      <c r="R495" s="202">
        <f t="shared" si="662"/>
        <v>54332</v>
      </c>
      <c r="S495" s="203">
        <f t="shared" si="648"/>
        <v>0.04</v>
      </c>
      <c r="T495" s="204">
        <f t="shared" ca="1" si="649"/>
        <v>291</v>
      </c>
      <c r="U495" s="205">
        <f t="shared" ca="1" si="650"/>
        <v>148812.56731220946</v>
      </c>
      <c r="V495" s="205">
        <f t="shared" ca="1" si="633"/>
        <v>-2387.0764773272963</v>
      </c>
      <c r="W495" s="205">
        <f t="shared" ca="1" si="634"/>
        <v>-496.0418910406982</v>
      </c>
      <c r="X495" s="205">
        <f t="shared" ca="1" si="651"/>
        <v>-1891.0345862865981</v>
      </c>
      <c r="Y495" s="205">
        <f t="shared" ca="1" si="652"/>
        <v>146921.53272592285</v>
      </c>
      <c r="Z495" s="199"/>
      <c r="AA495" s="200">
        <f t="shared" ca="1" si="640"/>
        <v>40</v>
      </c>
      <c r="AB495" s="509">
        <f t="shared" ca="1" si="635"/>
        <v>477</v>
      </c>
      <c r="AC495" s="200">
        <f t="shared" si="683"/>
        <v>40</v>
      </c>
      <c r="AD495" s="201">
        <f t="shared" si="680"/>
        <v>10</v>
      </c>
      <c r="AE495" s="202">
        <f t="shared" ca="1" si="663"/>
        <v>58927</v>
      </c>
      <c r="AF495" s="203">
        <f>IF(Dashboard!$R$24="Float",AF494+Dashboard!$R$24/12,AF494)</f>
        <v>0.06</v>
      </c>
      <c r="AG495" s="204">
        <f t="shared" si="653"/>
        <v>478</v>
      </c>
      <c r="AH495" s="205">
        <f t="shared" si="654"/>
        <v>0</v>
      </c>
      <c r="AI495" s="205">
        <f t="shared" si="637"/>
        <v>0</v>
      </c>
      <c r="AJ495" s="205">
        <f t="shared" si="638"/>
        <v>0</v>
      </c>
      <c r="AK495" s="205">
        <f t="shared" si="655"/>
        <v>0</v>
      </c>
      <c r="AL495" s="205">
        <f t="shared" si="656"/>
        <v>0</v>
      </c>
      <c r="AM495" s="199"/>
      <c r="AN495" s="200">
        <f t="shared" si="684"/>
        <v>41</v>
      </c>
      <c r="AO495" s="201">
        <f t="shared" si="681"/>
        <v>10</v>
      </c>
      <c r="AP495" s="202">
        <f t="shared" ca="1" si="664"/>
        <v>58927</v>
      </c>
      <c r="AQ495" s="203">
        <f>IF(Dashboard!$S$20="Float",AQ494+Dashboard!$T$20/12,AQ494)</f>
        <v>4.4999999999999998E-2</v>
      </c>
      <c r="AR495" s="204">
        <f t="shared" si="657"/>
        <v>478</v>
      </c>
      <c r="AS495" s="205">
        <f t="shared" si="658"/>
        <v>-5.350798494302251E-10</v>
      </c>
      <c r="AT495" s="205">
        <f t="shared" si="641"/>
        <v>-3.651621227618309E-12</v>
      </c>
      <c r="AU495" s="205">
        <f t="shared" si="642"/>
        <v>2.0065494353633439E-12</v>
      </c>
      <c r="AV495" s="205">
        <f t="shared" si="659"/>
        <v>-5.6581706629816533E-12</v>
      </c>
      <c r="AW495" s="205">
        <f t="shared" si="660"/>
        <v>-5.4073802009320672E-10</v>
      </c>
      <c r="AX495" s="199"/>
    </row>
    <row r="496" spans="1:50">
      <c r="A496" s="73"/>
      <c r="B496" s="570"/>
      <c r="C496" s="200">
        <f t="shared" si="682"/>
        <v>40</v>
      </c>
      <c r="D496" s="201">
        <f t="shared" si="678"/>
        <v>11</v>
      </c>
      <c r="E496" s="202">
        <f t="shared" ca="1" si="661"/>
        <v>58958</v>
      </c>
      <c r="F496" s="203">
        <f>IF(Dashboard!$Q$5="Float",F495+Dashboard!$R$5/12,F495)</f>
        <v>0.04</v>
      </c>
      <c r="G496" s="204">
        <f t="shared" si="643"/>
        <v>479</v>
      </c>
      <c r="H496" s="205">
        <f t="shared" si="644"/>
        <v>0</v>
      </c>
      <c r="I496" s="205">
        <f t="shared" si="629"/>
        <v>0</v>
      </c>
      <c r="J496" s="205">
        <f t="shared" si="630"/>
        <v>0</v>
      </c>
      <c r="K496" s="205">
        <f t="shared" si="645"/>
        <v>0</v>
      </c>
      <c r="L496" s="205">
        <f t="shared" si="646"/>
        <v>0</v>
      </c>
      <c r="M496" s="199"/>
      <c r="N496" s="200">
        <f t="shared" ca="1" si="647"/>
        <v>28</v>
      </c>
      <c r="O496" s="509">
        <f t="shared" ca="1" si="631"/>
        <v>327</v>
      </c>
      <c r="P496" s="200">
        <f t="shared" ca="1" si="632"/>
        <v>28</v>
      </c>
      <c r="Q496" s="201">
        <f t="shared" si="679"/>
        <v>11</v>
      </c>
      <c r="R496" s="202">
        <f t="shared" si="662"/>
        <v>54363</v>
      </c>
      <c r="S496" s="203">
        <f t="shared" si="648"/>
        <v>0.04</v>
      </c>
      <c r="T496" s="204">
        <f t="shared" ca="1" si="649"/>
        <v>292</v>
      </c>
      <c r="U496" s="205">
        <f t="shared" ca="1" si="650"/>
        <v>146921.53272592285</v>
      </c>
      <c r="V496" s="205">
        <f t="shared" ca="1" si="633"/>
        <v>-2387.0764773272963</v>
      </c>
      <c r="W496" s="205">
        <f t="shared" ca="1" si="634"/>
        <v>-489.73844241974285</v>
      </c>
      <c r="X496" s="205">
        <f t="shared" ca="1" si="651"/>
        <v>-1897.3380349075535</v>
      </c>
      <c r="Y496" s="205">
        <f t="shared" ca="1" si="652"/>
        <v>145024.19469101529</v>
      </c>
      <c r="Z496" s="199"/>
      <c r="AA496" s="200">
        <f t="shared" ca="1" si="640"/>
        <v>40</v>
      </c>
      <c r="AB496" s="509">
        <f t="shared" ca="1" si="635"/>
        <v>478</v>
      </c>
      <c r="AC496" s="200">
        <f t="shared" si="683"/>
        <v>40</v>
      </c>
      <c r="AD496" s="201">
        <f t="shared" si="680"/>
        <v>11</v>
      </c>
      <c r="AE496" s="202">
        <f t="shared" ca="1" si="663"/>
        <v>58958</v>
      </c>
      <c r="AF496" s="203">
        <f>IF(Dashboard!$R$24="Float",AF495+Dashboard!$R$24/12,AF495)</f>
        <v>0.06</v>
      </c>
      <c r="AG496" s="204">
        <f t="shared" si="653"/>
        <v>479</v>
      </c>
      <c r="AH496" s="205">
        <f t="shared" si="654"/>
        <v>0</v>
      </c>
      <c r="AI496" s="205">
        <f t="shared" si="637"/>
        <v>0</v>
      </c>
      <c r="AJ496" s="205">
        <f t="shared" si="638"/>
        <v>0</v>
      </c>
      <c r="AK496" s="205">
        <f t="shared" si="655"/>
        <v>0</v>
      </c>
      <c r="AL496" s="205">
        <f t="shared" si="656"/>
        <v>0</v>
      </c>
      <c r="AM496" s="199"/>
      <c r="AN496" s="200">
        <f t="shared" si="684"/>
        <v>41</v>
      </c>
      <c r="AO496" s="201">
        <f t="shared" si="681"/>
        <v>11</v>
      </c>
      <c r="AP496" s="202">
        <f t="shared" ca="1" si="664"/>
        <v>58958</v>
      </c>
      <c r="AQ496" s="203">
        <f>IF(Dashboard!$S$20="Float",AQ495+Dashboard!$T$20/12,AQ495)</f>
        <v>4.4999999999999998E-2</v>
      </c>
      <c r="AR496" s="204">
        <f t="shared" si="657"/>
        <v>479</v>
      </c>
      <c r="AS496" s="205">
        <f t="shared" si="658"/>
        <v>-5.4073802009320672E-10</v>
      </c>
      <c r="AT496" s="205">
        <f t="shared" si="641"/>
        <v>-3.651621227618309E-12</v>
      </c>
      <c r="AU496" s="205">
        <f t="shared" si="642"/>
        <v>2.0277675753495252E-12</v>
      </c>
      <c r="AV496" s="205">
        <f t="shared" si="659"/>
        <v>-5.6793888029678346E-12</v>
      </c>
      <c r="AW496" s="205">
        <f t="shared" si="660"/>
        <v>-5.4641740889617452E-10</v>
      </c>
      <c r="AX496" s="199"/>
    </row>
    <row r="497" spans="1:50">
      <c r="A497" s="73"/>
      <c r="B497" s="570"/>
      <c r="C497" s="200">
        <f t="shared" si="682"/>
        <v>40</v>
      </c>
      <c r="D497" s="201">
        <f t="shared" si="678"/>
        <v>12</v>
      </c>
      <c r="E497" s="202">
        <f t="shared" ca="1" si="661"/>
        <v>58988</v>
      </c>
      <c r="F497" s="203">
        <f>IF(Dashboard!$Q$5="Float",F496+Dashboard!$R$5/12,F496)</f>
        <v>0.04</v>
      </c>
      <c r="G497" s="204">
        <f t="shared" si="643"/>
        <v>480</v>
      </c>
      <c r="H497" s="205">
        <f t="shared" si="644"/>
        <v>0</v>
      </c>
      <c r="I497" s="205">
        <f t="shared" si="629"/>
        <v>0</v>
      </c>
      <c r="J497" s="205">
        <f t="shared" si="630"/>
        <v>0</v>
      </c>
      <c r="K497" s="205">
        <f t="shared" si="645"/>
        <v>0</v>
      </c>
      <c r="L497" s="205">
        <f t="shared" si="646"/>
        <v>0</v>
      </c>
      <c r="M497" s="199"/>
      <c r="N497" s="200">
        <f t="shared" ca="1" si="647"/>
        <v>28</v>
      </c>
      <c r="O497" s="509">
        <f t="shared" ca="1" si="631"/>
        <v>328</v>
      </c>
      <c r="P497" s="200">
        <f t="shared" ca="1" si="632"/>
        <v>28</v>
      </c>
      <c r="Q497" s="201">
        <f t="shared" si="679"/>
        <v>12</v>
      </c>
      <c r="R497" s="202">
        <f t="shared" si="662"/>
        <v>54393</v>
      </c>
      <c r="S497" s="203">
        <f t="shared" si="648"/>
        <v>0.04</v>
      </c>
      <c r="T497" s="204">
        <f t="shared" ca="1" si="649"/>
        <v>293</v>
      </c>
      <c r="U497" s="205">
        <f t="shared" ca="1" si="650"/>
        <v>145024.19469101529</v>
      </c>
      <c r="V497" s="205">
        <f t="shared" ca="1" si="633"/>
        <v>-2387.0764773272963</v>
      </c>
      <c r="W497" s="205">
        <f t="shared" ca="1" si="634"/>
        <v>-483.41398230338433</v>
      </c>
      <c r="X497" s="205">
        <f t="shared" ca="1" si="651"/>
        <v>-1903.662495023912</v>
      </c>
      <c r="Y497" s="205">
        <f t="shared" ca="1" si="652"/>
        <v>143120.53219599137</v>
      </c>
      <c r="Z497" s="199"/>
      <c r="AA497" s="200">
        <f t="shared" ca="1" si="640"/>
        <v>40</v>
      </c>
      <c r="AB497" s="509">
        <f t="shared" ca="1" si="635"/>
        <v>479</v>
      </c>
      <c r="AC497" s="200">
        <f t="shared" si="683"/>
        <v>40</v>
      </c>
      <c r="AD497" s="201">
        <f t="shared" si="680"/>
        <v>12</v>
      </c>
      <c r="AE497" s="202">
        <f t="shared" ca="1" si="663"/>
        <v>58988</v>
      </c>
      <c r="AF497" s="203">
        <f>IF(Dashboard!$R$24="Float",AF496+Dashboard!$R$24/12,AF496)</f>
        <v>0.06</v>
      </c>
      <c r="AG497" s="204">
        <f t="shared" si="653"/>
        <v>480</v>
      </c>
      <c r="AH497" s="205">
        <f t="shared" si="654"/>
        <v>0</v>
      </c>
      <c r="AI497" s="205">
        <f t="shared" si="637"/>
        <v>0</v>
      </c>
      <c r="AJ497" s="205">
        <f t="shared" si="638"/>
        <v>0</v>
      </c>
      <c r="AK497" s="205">
        <f t="shared" si="655"/>
        <v>0</v>
      </c>
      <c r="AL497" s="205">
        <f t="shared" si="656"/>
        <v>0</v>
      </c>
      <c r="AM497" s="199"/>
      <c r="AN497" s="200">
        <f t="shared" si="684"/>
        <v>41</v>
      </c>
      <c r="AO497" s="201">
        <f t="shared" si="681"/>
        <v>12</v>
      </c>
      <c r="AP497" s="202">
        <f t="shared" ca="1" si="664"/>
        <v>58988</v>
      </c>
      <c r="AQ497" s="203">
        <f>IF(Dashboard!$S$20="Float",AQ496+Dashboard!$T$20/12,AQ496)</f>
        <v>4.4999999999999998E-2</v>
      </c>
      <c r="AR497" s="204">
        <f t="shared" si="657"/>
        <v>480</v>
      </c>
      <c r="AS497" s="205">
        <f t="shared" si="658"/>
        <v>-5.4641740889617452E-10</v>
      </c>
      <c r="AT497" s="205">
        <f t="shared" si="641"/>
        <v>-3.651621227618309E-12</v>
      </c>
      <c r="AU497" s="205">
        <f t="shared" si="642"/>
        <v>2.0490652833606545E-12</v>
      </c>
      <c r="AV497" s="205">
        <f t="shared" si="659"/>
        <v>-5.7006865109789639E-12</v>
      </c>
      <c r="AW497" s="205">
        <f t="shared" si="660"/>
        <v>-5.5211809540715344E-10</v>
      </c>
      <c r="AX497" s="199"/>
    </row>
  </sheetData>
  <mergeCells count="44">
    <mergeCell ref="B486:B497"/>
    <mergeCell ref="B378:B389"/>
    <mergeCell ref="B390:B401"/>
    <mergeCell ref="B402:B413"/>
    <mergeCell ref="B414:B425"/>
    <mergeCell ref="B426:B437"/>
    <mergeCell ref="B438:B449"/>
    <mergeCell ref="B450:B461"/>
    <mergeCell ref="B462:B473"/>
    <mergeCell ref="B474:B485"/>
    <mergeCell ref="B366:B377"/>
    <mergeCell ref="B234:B245"/>
    <mergeCell ref="B246:B257"/>
    <mergeCell ref="B258:B269"/>
    <mergeCell ref="B270:B281"/>
    <mergeCell ref="B282:B293"/>
    <mergeCell ref="B294:B305"/>
    <mergeCell ref="B306:B317"/>
    <mergeCell ref="B318:B329"/>
    <mergeCell ref="B330:B341"/>
    <mergeCell ref="B342:B353"/>
    <mergeCell ref="B354:B365"/>
    <mergeCell ref="B222:B233"/>
    <mergeCell ref="B90:B101"/>
    <mergeCell ref="B102:B113"/>
    <mergeCell ref="B114:B125"/>
    <mergeCell ref="B126:B137"/>
    <mergeCell ref="B138:B149"/>
    <mergeCell ref="B150:B161"/>
    <mergeCell ref="B162:B173"/>
    <mergeCell ref="B174:B185"/>
    <mergeCell ref="B186:B197"/>
    <mergeCell ref="B198:B209"/>
    <mergeCell ref="B210:B221"/>
    <mergeCell ref="AN3:AW3"/>
    <mergeCell ref="B78:B89"/>
    <mergeCell ref="P3:Y3"/>
    <mergeCell ref="AC3:AL3"/>
    <mergeCell ref="B30:B41"/>
    <mergeCell ref="B18:B29"/>
    <mergeCell ref="B42:B53"/>
    <mergeCell ref="B54:B65"/>
    <mergeCell ref="B66:B77"/>
    <mergeCell ref="B3:L3"/>
  </mergeCells>
  <pageMargins left="0.7" right="0.7" top="0.75" bottom="0.75" header="0.3" footer="0.3"/>
  <pageSetup orientation="portrait" r:id="rId1"/>
  <headerFooter>
    <oddFooter>&amp;C&amp;"Copperplate Gothic Light,Bold"&amp;16&amp;K04-049Chavis Capital</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Y37"/>
  <sheetViews>
    <sheetView showGridLines="0" workbookViewId="0">
      <selection activeCell="O16" sqref="O16"/>
    </sheetView>
  </sheetViews>
  <sheetFormatPr defaultRowHeight="12.75"/>
  <cols>
    <col min="2" max="2" width="0.6640625" customWidth="1"/>
    <col min="3" max="3" width="36.796875" bestFit="1" customWidth="1"/>
    <col min="4" max="4" width="6.59765625" bestFit="1" customWidth="1"/>
    <col min="5" max="5" width="11.19921875" bestFit="1" customWidth="1"/>
    <col min="6" max="7" width="8.06640625" bestFit="1" customWidth="1"/>
    <col min="8" max="9" width="7.6640625" bestFit="1" customWidth="1"/>
    <col min="10" max="10" width="8.59765625" bestFit="1" customWidth="1"/>
    <col min="11" max="11" width="7.1328125" bestFit="1" customWidth="1"/>
    <col min="12" max="12" width="9.33203125" bestFit="1" customWidth="1"/>
    <col min="13" max="13" width="0.6640625" customWidth="1"/>
    <col min="14" max="14" width="4.73046875" bestFit="1" customWidth="1"/>
    <col min="15" max="15" width="34.265625" bestFit="1" customWidth="1"/>
    <col min="16" max="16" width="7.6640625" bestFit="1" customWidth="1"/>
    <col min="17" max="17" width="11.19921875" bestFit="1" customWidth="1"/>
  </cols>
  <sheetData>
    <row r="1" spans="1:25" ht="30">
      <c r="A1" s="74" t="str">
        <f ca="1">MID(CELL("filename",A1),FIND("]",CELL("filename",A1))+1,255)</f>
        <v>Rehab</v>
      </c>
      <c r="B1" s="74"/>
      <c r="C1" s="73"/>
      <c r="D1" s="73"/>
      <c r="E1" s="73"/>
      <c r="F1" s="73"/>
      <c r="G1" s="73"/>
      <c r="H1" s="73"/>
      <c r="I1" s="73"/>
      <c r="J1" s="73"/>
      <c r="K1" s="73"/>
      <c r="L1" s="73"/>
      <c r="M1" s="73"/>
      <c r="N1" s="73"/>
      <c r="O1" s="73"/>
      <c r="P1" s="73"/>
      <c r="Q1" s="73"/>
      <c r="R1" s="73"/>
      <c r="S1" s="73"/>
      <c r="T1" s="73"/>
      <c r="U1" s="73"/>
      <c r="V1" s="73"/>
      <c r="W1" s="73"/>
      <c r="X1" s="73"/>
      <c r="Y1" s="409">
        <f>+Name</f>
        <v>0</v>
      </c>
    </row>
    <row r="2" spans="1:25" ht="3.75" customHeight="1" thickBot="1">
      <c r="A2" s="73"/>
    </row>
    <row r="3" spans="1:25" ht="17.649999999999999">
      <c r="A3" s="73"/>
      <c r="C3" s="269" t="s">
        <v>121</v>
      </c>
      <c r="D3" s="170"/>
      <c r="E3" s="170"/>
      <c r="F3" s="170"/>
      <c r="G3" s="170"/>
      <c r="H3" s="170"/>
      <c r="I3" s="170"/>
      <c r="J3" s="170"/>
      <c r="K3" s="170"/>
      <c r="L3" s="270"/>
      <c r="O3" s="269" t="s">
        <v>122</v>
      </c>
      <c r="P3" s="170"/>
      <c r="Q3" s="170"/>
      <c r="R3" s="170"/>
      <c r="S3" s="170"/>
      <c r="T3" s="170"/>
      <c r="U3" s="170"/>
      <c r="V3" s="170"/>
      <c r="W3" s="170"/>
      <c r="X3" s="270"/>
    </row>
    <row r="4" spans="1:25" s="44" customFormat="1" ht="13.15">
      <c r="A4" s="279"/>
      <c r="B4" s="146"/>
      <c r="C4" s="271" t="s">
        <v>123</v>
      </c>
      <c r="D4" s="272" t="s">
        <v>131</v>
      </c>
      <c r="E4" s="272" t="s">
        <v>130</v>
      </c>
      <c r="F4" s="272" t="s">
        <v>71</v>
      </c>
      <c r="G4" s="272" t="s">
        <v>132</v>
      </c>
      <c r="H4" s="272" t="s">
        <v>133</v>
      </c>
      <c r="I4" s="272" t="s">
        <v>144</v>
      </c>
      <c r="J4" s="272" t="s">
        <v>146</v>
      </c>
      <c r="K4" s="272" t="s">
        <v>56</v>
      </c>
      <c r="L4" s="273" t="s">
        <v>87</v>
      </c>
      <c r="O4" s="271" t="s">
        <v>123</v>
      </c>
      <c r="P4" s="272" t="s">
        <v>131</v>
      </c>
      <c r="Q4" s="272" t="s">
        <v>130</v>
      </c>
      <c r="R4" s="272" t="s">
        <v>71</v>
      </c>
      <c r="S4" s="272" t="s">
        <v>132</v>
      </c>
      <c r="T4" s="272" t="s">
        <v>133</v>
      </c>
      <c r="U4" s="272" t="s">
        <v>144</v>
      </c>
      <c r="V4" s="272" t="s">
        <v>146</v>
      </c>
      <c r="W4" s="272" t="s">
        <v>56</v>
      </c>
      <c r="X4" s="273" t="s">
        <v>87</v>
      </c>
    </row>
    <row r="5" spans="1:25">
      <c r="A5" s="73"/>
      <c r="C5" s="92" t="s">
        <v>337</v>
      </c>
      <c r="D5" s="56"/>
      <c r="E5" s="56"/>
      <c r="F5" s="48"/>
      <c r="G5" s="48"/>
      <c r="H5" s="48"/>
      <c r="I5" s="48"/>
      <c r="J5" s="49">
        <f>+SUM(F5:I5)</f>
        <v>0</v>
      </c>
      <c r="K5" s="274"/>
      <c r="L5" s="266">
        <f>+J5*K5</f>
        <v>0</v>
      </c>
      <c r="M5" s="27"/>
      <c r="O5" s="92"/>
      <c r="P5" s="56"/>
      <c r="Q5" s="56"/>
      <c r="R5" s="48"/>
      <c r="S5" s="48"/>
      <c r="T5" s="48"/>
      <c r="U5" s="48"/>
      <c r="V5" s="49">
        <f t="shared" ref="V5:V23" si="0">+SUM(R5:U5)</f>
        <v>0</v>
      </c>
      <c r="W5" s="274"/>
      <c r="X5" s="266">
        <f t="shared" ref="X5:X23" si="1">+V5*W5</f>
        <v>0</v>
      </c>
    </row>
    <row r="6" spans="1:25">
      <c r="A6" s="73"/>
      <c r="C6" s="149" t="s">
        <v>338</v>
      </c>
      <c r="D6" s="56"/>
      <c r="E6" s="56"/>
      <c r="F6" s="48"/>
      <c r="G6" s="48"/>
      <c r="H6" s="48"/>
      <c r="I6" s="48"/>
      <c r="J6" s="49">
        <f t="shared" ref="J6:J16" si="2">+SUM(F6:I6)</f>
        <v>0</v>
      </c>
      <c r="K6" s="274"/>
      <c r="L6" s="266">
        <f t="shared" ref="L6:L17" si="3">+J6*K6</f>
        <v>0</v>
      </c>
      <c r="M6" s="27"/>
      <c r="O6" s="92" t="s">
        <v>345</v>
      </c>
      <c r="P6" s="56"/>
      <c r="Q6" s="56"/>
      <c r="R6" s="48"/>
      <c r="S6" s="48"/>
      <c r="T6" s="48"/>
      <c r="U6" s="48"/>
      <c r="V6" s="49">
        <f t="shared" si="0"/>
        <v>0</v>
      </c>
      <c r="W6" s="274"/>
      <c r="X6" s="266">
        <f t="shared" si="1"/>
        <v>0</v>
      </c>
    </row>
    <row r="7" spans="1:25">
      <c r="A7" s="73"/>
      <c r="C7" s="92" t="s">
        <v>339</v>
      </c>
      <c r="D7" s="56"/>
      <c r="E7" s="56"/>
      <c r="F7" s="48"/>
      <c r="G7" s="48"/>
      <c r="H7" s="48"/>
      <c r="I7" s="48"/>
      <c r="J7" s="49">
        <f t="shared" si="2"/>
        <v>0</v>
      </c>
      <c r="K7" s="274"/>
      <c r="L7" s="266">
        <f t="shared" si="3"/>
        <v>0</v>
      </c>
      <c r="M7" s="27"/>
      <c r="O7" s="92" t="s">
        <v>141</v>
      </c>
      <c r="P7" s="56"/>
      <c r="Q7" s="56"/>
      <c r="R7" s="48"/>
      <c r="S7" s="48"/>
      <c r="T7" s="48"/>
      <c r="U7" s="48"/>
      <c r="V7" s="49">
        <f t="shared" si="0"/>
        <v>0</v>
      </c>
      <c r="W7" s="274"/>
      <c r="X7" s="266">
        <f t="shared" si="1"/>
        <v>0</v>
      </c>
    </row>
    <row r="8" spans="1:25">
      <c r="A8" s="73"/>
      <c r="C8" s="92" t="s">
        <v>149</v>
      </c>
      <c r="D8" s="56"/>
      <c r="E8" s="56"/>
      <c r="F8" s="48"/>
      <c r="G8" s="48"/>
      <c r="H8" s="48"/>
      <c r="I8" s="48"/>
      <c r="J8" s="49">
        <f t="shared" si="2"/>
        <v>0</v>
      </c>
      <c r="K8" s="274"/>
      <c r="L8" s="266">
        <f t="shared" si="3"/>
        <v>0</v>
      </c>
      <c r="M8" s="27"/>
      <c r="O8" s="92" t="s">
        <v>348</v>
      </c>
      <c r="P8" s="56"/>
      <c r="Q8" s="56"/>
      <c r="R8" s="48"/>
      <c r="S8" s="48"/>
      <c r="T8" s="48"/>
      <c r="U8" s="48"/>
      <c r="V8" s="49">
        <f t="shared" si="0"/>
        <v>0</v>
      </c>
      <c r="W8" s="274"/>
      <c r="X8" s="266">
        <f t="shared" si="1"/>
        <v>0</v>
      </c>
    </row>
    <row r="9" spans="1:25">
      <c r="A9" s="73"/>
      <c r="C9" s="92" t="s">
        <v>343</v>
      </c>
      <c r="D9" s="56"/>
      <c r="E9" s="56"/>
      <c r="F9" s="48"/>
      <c r="G9" s="48"/>
      <c r="H9" s="48"/>
      <c r="I9" s="48"/>
      <c r="J9" s="49">
        <f t="shared" si="2"/>
        <v>0</v>
      </c>
      <c r="K9" s="274"/>
      <c r="L9" s="266">
        <f t="shared" si="3"/>
        <v>0</v>
      </c>
      <c r="M9" s="27"/>
      <c r="O9" s="92" t="s">
        <v>136</v>
      </c>
      <c r="P9" s="56"/>
      <c r="Q9" s="56"/>
      <c r="R9" s="48"/>
      <c r="S9" s="48"/>
      <c r="T9" s="48"/>
      <c r="U9" s="48"/>
      <c r="V9" s="49">
        <f t="shared" si="0"/>
        <v>0</v>
      </c>
      <c r="W9" s="274"/>
      <c r="X9" s="266">
        <f t="shared" si="1"/>
        <v>0</v>
      </c>
    </row>
    <row r="10" spans="1:25">
      <c r="A10" s="73"/>
      <c r="C10" s="92" t="s">
        <v>341</v>
      </c>
      <c r="D10" s="56"/>
      <c r="E10" s="56"/>
      <c r="F10" s="48"/>
      <c r="G10" s="48"/>
      <c r="H10" s="48"/>
      <c r="I10" s="48"/>
      <c r="J10" s="49">
        <f t="shared" si="2"/>
        <v>0</v>
      </c>
      <c r="K10" s="274"/>
      <c r="L10" s="266">
        <f t="shared" si="3"/>
        <v>0</v>
      </c>
      <c r="M10" s="27"/>
      <c r="O10" s="92" t="s">
        <v>139</v>
      </c>
      <c r="P10" s="56"/>
      <c r="Q10" s="56"/>
      <c r="R10" s="48"/>
      <c r="S10" s="48"/>
      <c r="T10" s="48"/>
      <c r="U10" s="48"/>
      <c r="V10" s="49">
        <f t="shared" si="0"/>
        <v>0</v>
      </c>
      <c r="W10" s="274"/>
      <c r="X10" s="266">
        <f t="shared" si="1"/>
        <v>0</v>
      </c>
    </row>
    <row r="11" spans="1:25">
      <c r="A11" s="73"/>
      <c r="C11" s="149" t="s">
        <v>125</v>
      </c>
      <c r="D11" s="56"/>
      <c r="E11" s="56"/>
      <c r="F11" s="48"/>
      <c r="G11" s="48"/>
      <c r="H11" s="48"/>
      <c r="I11" s="48"/>
      <c r="J11" s="49">
        <f t="shared" si="2"/>
        <v>0</v>
      </c>
      <c r="K11" s="274"/>
      <c r="L11" s="266">
        <f t="shared" si="3"/>
        <v>0</v>
      </c>
      <c r="M11" s="27"/>
      <c r="O11" s="92" t="s">
        <v>148</v>
      </c>
      <c r="P11" s="56"/>
      <c r="Q11" s="56"/>
      <c r="R11" s="48"/>
      <c r="S11" s="48"/>
      <c r="T11" s="48"/>
      <c r="U11" s="48"/>
      <c r="V11" s="49">
        <f t="shared" si="0"/>
        <v>0</v>
      </c>
      <c r="W11" s="274"/>
      <c r="X11" s="266">
        <f t="shared" si="1"/>
        <v>0</v>
      </c>
    </row>
    <row r="12" spans="1:25">
      <c r="A12" s="73"/>
      <c r="C12" s="92" t="s">
        <v>126</v>
      </c>
      <c r="D12" s="56"/>
      <c r="E12" s="56"/>
      <c r="F12" s="48"/>
      <c r="G12" s="48"/>
      <c r="H12" s="48"/>
      <c r="I12" s="48"/>
      <c r="J12" s="49">
        <f t="shared" si="2"/>
        <v>0</v>
      </c>
      <c r="K12" s="274"/>
      <c r="L12" s="266">
        <f t="shared" si="3"/>
        <v>0</v>
      </c>
      <c r="M12" s="27"/>
      <c r="O12" s="92" t="s">
        <v>346</v>
      </c>
      <c r="P12" s="56"/>
      <c r="Q12" s="56"/>
      <c r="R12" s="48"/>
      <c r="S12" s="48"/>
      <c r="T12" s="48"/>
      <c r="U12" s="48"/>
      <c r="V12" s="49">
        <f t="shared" si="0"/>
        <v>0</v>
      </c>
      <c r="W12" s="274"/>
      <c r="X12" s="266">
        <f t="shared" si="1"/>
        <v>0</v>
      </c>
    </row>
    <row r="13" spans="1:25">
      <c r="A13" s="73"/>
      <c r="C13" s="92" t="s">
        <v>127</v>
      </c>
      <c r="D13" s="56"/>
      <c r="E13" s="56"/>
      <c r="F13" s="48"/>
      <c r="G13" s="48"/>
      <c r="H13" s="48"/>
      <c r="I13" s="48"/>
      <c r="J13" s="49">
        <f t="shared" si="2"/>
        <v>0</v>
      </c>
      <c r="K13" s="274"/>
      <c r="L13" s="266">
        <f t="shared" si="3"/>
        <v>0</v>
      </c>
      <c r="M13" s="27"/>
      <c r="O13" s="92" t="s">
        <v>142</v>
      </c>
      <c r="P13" s="56"/>
      <c r="Q13" s="56"/>
      <c r="R13" s="48"/>
      <c r="S13" s="48"/>
      <c r="T13" s="48"/>
      <c r="U13" s="48"/>
      <c r="V13" s="49">
        <f t="shared" si="0"/>
        <v>0</v>
      </c>
      <c r="W13" s="274"/>
      <c r="X13" s="266">
        <f t="shared" si="1"/>
        <v>0</v>
      </c>
    </row>
    <row r="14" spans="1:25">
      <c r="A14" s="73"/>
      <c r="C14" s="92" t="s">
        <v>124</v>
      </c>
      <c r="D14" s="56"/>
      <c r="E14" s="56"/>
      <c r="F14" s="48"/>
      <c r="G14" s="48"/>
      <c r="H14" s="48"/>
      <c r="I14" s="48"/>
      <c r="J14" s="49">
        <f t="shared" si="2"/>
        <v>0</v>
      </c>
      <c r="K14" s="274"/>
      <c r="L14" s="266">
        <f t="shared" si="3"/>
        <v>0</v>
      </c>
      <c r="M14" s="27"/>
      <c r="O14" s="92" t="s">
        <v>351</v>
      </c>
      <c r="P14" s="56"/>
      <c r="Q14" s="56"/>
      <c r="R14" s="48"/>
      <c r="S14" s="48"/>
      <c r="T14" s="48"/>
      <c r="U14" s="48"/>
      <c r="V14" s="49">
        <f t="shared" si="0"/>
        <v>0</v>
      </c>
      <c r="W14" s="274"/>
      <c r="X14" s="266">
        <f t="shared" si="1"/>
        <v>0</v>
      </c>
    </row>
    <row r="15" spans="1:25">
      <c r="A15" s="73"/>
      <c r="C15" s="92" t="s">
        <v>342</v>
      </c>
      <c r="D15" s="56"/>
      <c r="E15" s="56"/>
      <c r="F15" s="48"/>
      <c r="G15" s="48"/>
      <c r="H15" s="48"/>
      <c r="I15" s="48"/>
      <c r="J15" s="49">
        <f t="shared" si="2"/>
        <v>0</v>
      </c>
      <c r="K15" s="274"/>
      <c r="L15" s="266">
        <f t="shared" si="3"/>
        <v>0</v>
      </c>
      <c r="M15" s="27"/>
      <c r="O15" s="92" t="s">
        <v>138</v>
      </c>
      <c r="P15" s="56"/>
      <c r="Q15" s="56"/>
      <c r="R15" s="48"/>
      <c r="S15" s="48"/>
      <c r="T15" s="48"/>
      <c r="U15" s="48"/>
      <c r="V15" s="49">
        <f t="shared" si="0"/>
        <v>0</v>
      </c>
      <c r="W15" s="274"/>
      <c r="X15" s="266">
        <f t="shared" si="1"/>
        <v>0</v>
      </c>
    </row>
    <row r="16" spans="1:25">
      <c r="A16" s="73"/>
      <c r="C16" s="92" t="s">
        <v>128</v>
      </c>
      <c r="D16" s="56"/>
      <c r="E16" s="56"/>
      <c r="F16" s="48"/>
      <c r="G16" s="48"/>
      <c r="H16" s="48"/>
      <c r="I16" s="48"/>
      <c r="J16" s="49">
        <f t="shared" si="2"/>
        <v>0</v>
      </c>
      <c r="K16" s="274"/>
      <c r="L16" s="266">
        <f t="shared" si="3"/>
        <v>0</v>
      </c>
      <c r="M16" s="27"/>
      <c r="O16" s="92" t="s">
        <v>344</v>
      </c>
      <c r="P16" s="56"/>
      <c r="Q16" s="56"/>
      <c r="R16" s="48"/>
      <c r="S16" s="48"/>
      <c r="T16" s="48"/>
      <c r="U16" s="48"/>
      <c r="V16" s="49">
        <f t="shared" si="0"/>
        <v>0</v>
      </c>
      <c r="W16" s="274"/>
      <c r="X16" s="266">
        <f t="shared" si="1"/>
        <v>0</v>
      </c>
    </row>
    <row r="17" spans="1:24">
      <c r="A17" s="73"/>
      <c r="C17" s="92" t="s">
        <v>340</v>
      </c>
      <c r="D17" s="56"/>
      <c r="E17" s="56"/>
      <c r="F17" s="48"/>
      <c r="G17" s="48"/>
      <c r="H17" s="48"/>
      <c r="I17" s="48"/>
      <c r="J17" s="49">
        <f t="shared" ref="J17" si="4">+SUM(F17:I17)</f>
        <v>0</v>
      </c>
      <c r="K17" s="274"/>
      <c r="L17" s="266">
        <f t="shared" si="3"/>
        <v>0</v>
      </c>
      <c r="M17" s="27"/>
      <c r="O17" s="92" t="s">
        <v>135</v>
      </c>
      <c r="P17" s="56"/>
      <c r="Q17" s="56"/>
      <c r="R17" s="48"/>
      <c r="S17" s="48"/>
      <c r="T17" s="48"/>
      <c r="U17" s="48"/>
      <c r="V17" s="49">
        <f t="shared" si="0"/>
        <v>0</v>
      </c>
      <c r="W17" s="274"/>
      <c r="X17" s="266">
        <f t="shared" si="1"/>
        <v>0</v>
      </c>
    </row>
    <row r="18" spans="1:24">
      <c r="A18" s="73"/>
      <c r="C18" s="92" t="s">
        <v>134</v>
      </c>
      <c r="D18" s="56"/>
      <c r="E18" s="56"/>
      <c r="F18" s="48"/>
      <c r="G18" s="48"/>
      <c r="H18" s="48"/>
      <c r="I18" s="48"/>
      <c r="J18" s="49">
        <f t="shared" ref="J18:J21" si="5">+SUM(F18:I18)</f>
        <v>0</v>
      </c>
      <c r="K18" s="274"/>
      <c r="L18" s="266">
        <f t="shared" ref="L18:L21" si="6">+J18*K18</f>
        <v>0</v>
      </c>
      <c r="M18" s="27"/>
      <c r="O18" s="92" t="s">
        <v>137</v>
      </c>
      <c r="P18" s="56"/>
      <c r="Q18" s="56"/>
      <c r="R18" s="48"/>
      <c r="S18" s="48"/>
      <c r="T18" s="48"/>
      <c r="U18" s="48"/>
      <c r="V18" s="49">
        <f t="shared" si="0"/>
        <v>0</v>
      </c>
      <c r="W18" s="274"/>
      <c r="X18" s="266">
        <f t="shared" si="1"/>
        <v>0</v>
      </c>
    </row>
    <row r="19" spans="1:24">
      <c r="A19" s="73"/>
      <c r="C19" s="92" t="s">
        <v>150</v>
      </c>
      <c r="D19" s="56"/>
      <c r="E19" s="56"/>
      <c r="F19" s="48"/>
      <c r="G19" s="48"/>
      <c r="H19" s="48"/>
      <c r="I19" s="48"/>
      <c r="J19" s="49">
        <f t="shared" si="5"/>
        <v>0</v>
      </c>
      <c r="K19" s="274"/>
      <c r="L19" s="266">
        <f t="shared" si="6"/>
        <v>0</v>
      </c>
      <c r="M19" s="27"/>
      <c r="O19" s="92" t="s">
        <v>347</v>
      </c>
      <c r="P19" s="56"/>
      <c r="Q19" s="56"/>
      <c r="R19" s="48"/>
      <c r="S19" s="48"/>
      <c r="T19" s="48"/>
      <c r="U19" s="48"/>
      <c r="V19" s="49">
        <f t="shared" si="0"/>
        <v>0</v>
      </c>
      <c r="W19" s="274"/>
      <c r="X19" s="266">
        <f t="shared" si="1"/>
        <v>0</v>
      </c>
    </row>
    <row r="20" spans="1:24">
      <c r="A20" s="73"/>
      <c r="C20" s="92" t="s">
        <v>151</v>
      </c>
      <c r="D20" s="56"/>
      <c r="E20" s="56"/>
      <c r="F20" s="48"/>
      <c r="G20" s="48"/>
      <c r="H20" s="48"/>
      <c r="I20" s="48"/>
      <c r="J20" s="49">
        <f t="shared" si="5"/>
        <v>0</v>
      </c>
      <c r="K20" s="274"/>
      <c r="L20" s="266">
        <f t="shared" si="6"/>
        <v>0</v>
      </c>
      <c r="M20" s="27"/>
      <c r="O20" s="92" t="s">
        <v>140</v>
      </c>
      <c r="P20" s="56"/>
      <c r="Q20" s="56"/>
      <c r="R20" s="48"/>
      <c r="S20" s="48"/>
      <c r="T20" s="48"/>
      <c r="U20" s="48"/>
      <c r="V20" s="49">
        <f t="shared" si="0"/>
        <v>0</v>
      </c>
      <c r="W20" s="274"/>
      <c r="X20" s="266">
        <f t="shared" si="1"/>
        <v>0</v>
      </c>
    </row>
    <row r="21" spans="1:24">
      <c r="A21" s="73"/>
      <c r="C21" s="92" t="s">
        <v>152</v>
      </c>
      <c r="D21" s="56"/>
      <c r="E21" s="56"/>
      <c r="F21" s="48"/>
      <c r="G21" s="48"/>
      <c r="H21" s="48"/>
      <c r="I21" s="48"/>
      <c r="J21" s="49">
        <f t="shared" si="5"/>
        <v>0</v>
      </c>
      <c r="K21" s="274"/>
      <c r="L21" s="266">
        <f t="shared" si="6"/>
        <v>0</v>
      </c>
      <c r="M21" s="27"/>
      <c r="O21" s="92" t="s">
        <v>134</v>
      </c>
      <c r="P21" s="56"/>
      <c r="Q21" s="56"/>
      <c r="R21" s="48"/>
      <c r="S21" s="48"/>
      <c r="T21" s="48"/>
      <c r="U21" s="48"/>
      <c r="V21" s="49">
        <f t="shared" si="0"/>
        <v>0</v>
      </c>
      <c r="W21" s="274"/>
      <c r="X21" s="266">
        <f t="shared" si="1"/>
        <v>0</v>
      </c>
    </row>
    <row r="22" spans="1:24">
      <c r="A22" s="73"/>
      <c r="C22" s="92" t="s">
        <v>349</v>
      </c>
      <c r="D22" s="56"/>
      <c r="E22" s="56"/>
      <c r="F22" s="48"/>
      <c r="G22" s="48"/>
      <c r="H22" s="48"/>
      <c r="I22" s="48"/>
      <c r="J22" s="49">
        <f t="shared" ref="J22" si="7">+SUM(F22:I22)</f>
        <v>0</v>
      </c>
      <c r="K22" s="274"/>
      <c r="L22" s="266">
        <f t="shared" ref="L22" si="8">+J22*K22</f>
        <v>0</v>
      </c>
      <c r="M22" s="27"/>
      <c r="O22" s="92" t="s">
        <v>150</v>
      </c>
      <c r="P22" s="56"/>
      <c r="Q22" s="56"/>
      <c r="R22" s="48"/>
      <c r="S22" s="48"/>
      <c r="T22" s="48"/>
      <c r="U22" s="48"/>
      <c r="V22" s="49">
        <f t="shared" si="0"/>
        <v>0</v>
      </c>
      <c r="W22" s="274"/>
      <c r="X22" s="266">
        <f t="shared" si="1"/>
        <v>0</v>
      </c>
    </row>
    <row r="23" spans="1:24">
      <c r="A23" s="73"/>
      <c r="C23" s="92" t="s">
        <v>350</v>
      </c>
      <c r="D23" s="56"/>
      <c r="E23" s="56"/>
      <c r="F23" s="48"/>
      <c r="G23" s="48"/>
      <c r="H23" s="48"/>
      <c r="I23" s="48"/>
      <c r="J23" s="49">
        <f t="shared" ref="J23" si="9">+SUM(F23:I23)</f>
        <v>0</v>
      </c>
      <c r="K23" s="274"/>
      <c r="L23" s="266">
        <f t="shared" ref="L23" si="10">+J23*K23</f>
        <v>0</v>
      </c>
      <c r="M23" s="27"/>
      <c r="O23" s="92" t="s">
        <v>151</v>
      </c>
      <c r="P23" s="56"/>
      <c r="Q23" s="56"/>
      <c r="R23" s="48"/>
      <c r="S23" s="48"/>
      <c r="T23" s="48"/>
      <c r="U23" s="48"/>
      <c r="V23" s="49">
        <f t="shared" si="0"/>
        <v>0</v>
      </c>
      <c r="W23" s="274"/>
      <c r="X23" s="266">
        <f t="shared" si="1"/>
        <v>0</v>
      </c>
    </row>
    <row r="24" spans="1:24" ht="13.15">
      <c r="A24" s="73"/>
      <c r="C24" s="258" t="s">
        <v>147</v>
      </c>
      <c r="D24" s="56"/>
      <c r="E24" s="56"/>
      <c r="F24" s="48"/>
      <c r="G24" s="48"/>
      <c r="H24" s="48"/>
      <c r="I24" s="48"/>
      <c r="J24" s="49"/>
      <c r="K24" s="45">
        <f>SUM(K5:K23)</f>
        <v>0</v>
      </c>
      <c r="L24" s="275">
        <f>SUM(L5:L23)</f>
        <v>0</v>
      </c>
      <c r="M24" s="50"/>
      <c r="O24" s="258" t="s">
        <v>147</v>
      </c>
      <c r="P24" s="56"/>
      <c r="Q24" s="56"/>
      <c r="R24" s="48"/>
      <c r="S24" s="48"/>
      <c r="T24" s="48"/>
      <c r="U24" s="48"/>
      <c r="V24" s="49"/>
      <c r="W24" s="45">
        <f>SUM(W5:W23)</f>
        <v>0</v>
      </c>
      <c r="X24" s="275">
        <f>SUM(X5:X23)</f>
        <v>0</v>
      </c>
    </row>
    <row r="25" spans="1:24" ht="13.15">
      <c r="A25" s="73"/>
      <c r="C25" s="258"/>
      <c r="D25" s="56"/>
      <c r="E25" s="56"/>
      <c r="F25" s="48"/>
      <c r="G25" s="48"/>
      <c r="H25" s="48"/>
      <c r="I25" s="48"/>
      <c r="J25" s="49"/>
      <c r="K25" s="50"/>
      <c r="L25" s="266"/>
      <c r="M25" s="50"/>
      <c r="O25" s="258"/>
      <c r="P25" s="56"/>
      <c r="Q25" s="56"/>
      <c r="R25" s="48"/>
      <c r="S25" s="48"/>
      <c r="T25" s="48"/>
      <c r="U25" s="48"/>
      <c r="V25" s="49"/>
      <c r="W25" s="50"/>
      <c r="X25" s="266"/>
    </row>
    <row r="26" spans="1:24" ht="13.15">
      <c r="A26" s="73"/>
      <c r="C26" s="92" t="s">
        <v>129</v>
      </c>
      <c r="D26" s="264">
        <v>0.1</v>
      </c>
      <c r="E26" s="56"/>
      <c r="F26" s="48"/>
      <c r="G26" s="48"/>
      <c r="H26" s="48"/>
      <c r="I26" s="48"/>
      <c r="J26" s="49"/>
      <c r="K26" s="72">
        <f>+$D$26*K24</f>
        <v>0</v>
      </c>
      <c r="L26" s="276">
        <f>+$D$26*L24</f>
        <v>0</v>
      </c>
      <c r="M26" s="27"/>
      <c r="O26" s="92" t="s">
        <v>143</v>
      </c>
      <c r="P26" s="264">
        <v>0.1</v>
      </c>
      <c r="Q26" s="56"/>
      <c r="R26" s="48"/>
      <c r="S26" s="48"/>
      <c r="T26" s="48"/>
      <c r="U26" s="48"/>
      <c r="V26" s="49"/>
      <c r="W26" s="72">
        <f>+$P$26*W24</f>
        <v>0</v>
      </c>
      <c r="X26" s="276">
        <f>+P26*X24</f>
        <v>0</v>
      </c>
    </row>
    <row r="27" spans="1:24">
      <c r="A27" s="73"/>
      <c r="C27" s="92"/>
      <c r="D27" s="56"/>
      <c r="E27" s="56"/>
      <c r="F27" s="48"/>
      <c r="G27" s="48"/>
      <c r="H27" s="48"/>
      <c r="I27" s="48"/>
      <c r="J27" s="49"/>
      <c r="K27" s="50"/>
      <c r="L27" s="266"/>
      <c r="M27" s="27"/>
      <c r="N27" s="15"/>
      <c r="O27" s="92"/>
      <c r="P27" s="56"/>
      <c r="Q27" s="56"/>
      <c r="R27" s="48"/>
      <c r="S27" s="48"/>
      <c r="T27" s="48"/>
      <c r="U27" s="48"/>
      <c r="V27" s="49"/>
      <c r="W27" s="50"/>
      <c r="X27" s="266"/>
    </row>
    <row r="28" spans="1:24" ht="13.5" thickBot="1">
      <c r="A28" s="73"/>
      <c r="C28" s="258" t="s">
        <v>145</v>
      </c>
      <c r="D28" s="56"/>
      <c r="E28" s="56"/>
      <c r="F28" s="47">
        <f>+F$29*$L$28</f>
        <v>0</v>
      </c>
      <c r="G28" s="47">
        <f t="shared" ref="G28:I28" si="11">+G$29*$L$28</f>
        <v>0</v>
      </c>
      <c r="H28" s="47">
        <f t="shared" si="11"/>
        <v>0</v>
      </c>
      <c r="I28" s="47">
        <f t="shared" si="11"/>
        <v>0</v>
      </c>
      <c r="J28" s="46"/>
      <c r="K28" s="47">
        <f>SUM(K24:K26)</f>
        <v>0</v>
      </c>
      <c r="L28" s="277">
        <f>SUM(L24:L26)</f>
        <v>0</v>
      </c>
      <c r="M28" s="51"/>
      <c r="O28" s="258" t="s">
        <v>145</v>
      </c>
      <c r="P28" s="56"/>
      <c r="Q28" s="56"/>
      <c r="R28" s="47">
        <f>+R$29*$X$28</f>
        <v>0</v>
      </c>
      <c r="S28" s="47">
        <f t="shared" ref="S28:U28" si="12">+S$29*$X$28</f>
        <v>0</v>
      </c>
      <c r="T28" s="47">
        <f t="shared" si="12"/>
        <v>0</v>
      </c>
      <c r="U28" s="47">
        <f t="shared" si="12"/>
        <v>0</v>
      </c>
      <c r="V28" s="46"/>
      <c r="W28" s="47">
        <f>SUM(W24:W26)</f>
        <v>0</v>
      </c>
      <c r="X28" s="277">
        <f>SUM(X24:X26)</f>
        <v>0</v>
      </c>
    </row>
    <row r="29" spans="1:24" ht="13.5" thickBot="1">
      <c r="A29" s="73"/>
      <c r="C29" s="259" t="s">
        <v>246</v>
      </c>
      <c r="D29" s="160"/>
      <c r="E29" s="160"/>
      <c r="F29" s="437">
        <v>1</v>
      </c>
      <c r="G29" s="436">
        <f>100%-SUM($F$29:F29)</f>
        <v>0</v>
      </c>
      <c r="H29" s="436">
        <f>100%-SUM($F$29:G29)</f>
        <v>0</v>
      </c>
      <c r="I29" s="436">
        <f>100%-SUM($F$29:H29)</f>
        <v>0</v>
      </c>
      <c r="J29" s="160"/>
      <c r="K29" s="160"/>
      <c r="L29" s="268"/>
      <c r="O29" s="148"/>
      <c r="P29" s="160"/>
      <c r="Q29" s="160"/>
      <c r="R29" s="437">
        <v>1</v>
      </c>
      <c r="S29" s="436">
        <f>100%-SUM($R$29:R29)</f>
        <v>0</v>
      </c>
      <c r="T29" s="436">
        <f>100%-SUM($R$29:S29)</f>
        <v>0</v>
      </c>
      <c r="U29" s="436">
        <f>100%-SUM($R$29:T29)</f>
        <v>0</v>
      </c>
      <c r="V29" s="160"/>
      <c r="W29" s="160"/>
      <c r="X29" s="268"/>
    </row>
    <row r="30" spans="1:24" ht="13.15" thickBot="1">
      <c r="A30" s="73"/>
    </row>
    <row r="31" spans="1:24" ht="13.15">
      <c r="A31" s="73"/>
      <c r="C31" s="260" t="s">
        <v>247</v>
      </c>
      <c r="D31" s="170"/>
      <c r="E31" s="170"/>
      <c r="F31" s="261" t="s">
        <v>71</v>
      </c>
      <c r="G31" s="262">
        <v>1</v>
      </c>
      <c r="H31" s="262">
        <f>+G31+1</f>
        <v>2</v>
      </c>
      <c r="I31" s="262">
        <f>+H31+1</f>
        <v>3</v>
      </c>
      <c r="J31" s="262">
        <f>+I31+1</f>
        <v>4</v>
      </c>
      <c r="K31" s="170"/>
      <c r="L31" s="263" t="s">
        <v>249</v>
      </c>
    </row>
    <row r="32" spans="1:24" ht="13.15">
      <c r="A32" s="73"/>
      <c r="C32" s="92" t="str">
        <f>+Worksheet!C6</f>
        <v>Rent Premium</v>
      </c>
      <c r="D32" s="264"/>
      <c r="E32" s="264"/>
      <c r="F32" s="265">
        <v>0</v>
      </c>
      <c r="G32" s="264">
        <v>0.5</v>
      </c>
      <c r="H32" s="264">
        <v>1</v>
      </c>
      <c r="I32" s="264">
        <v>1</v>
      </c>
      <c r="J32" s="264">
        <v>1</v>
      </c>
      <c r="K32" s="56"/>
      <c r="L32" s="266">
        <f>-MIN(0,-(Dashboard!K11-Dashboard!I11))</f>
        <v>125</v>
      </c>
    </row>
    <row r="33" spans="1:22" ht="13.15">
      <c r="A33" s="73"/>
      <c r="C33" s="92" t="s">
        <v>428</v>
      </c>
      <c r="D33" s="264"/>
      <c r="E33" s="264"/>
      <c r="F33" s="439">
        <f>+U</f>
        <v>40</v>
      </c>
      <c r="G33" s="439">
        <f>+F33</f>
        <v>40</v>
      </c>
      <c r="H33" s="439">
        <f t="shared" ref="H33:J33" si="13">+G33</f>
        <v>40</v>
      </c>
      <c r="I33" s="439">
        <f t="shared" si="13"/>
        <v>40</v>
      </c>
      <c r="J33" s="439">
        <f t="shared" si="13"/>
        <v>40</v>
      </c>
      <c r="K33" s="56"/>
      <c r="L33" s="266"/>
    </row>
    <row r="34" spans="1:22">
      <c r="A34" s="73"/>
      <c r="C34" s="92"/>
      <c r="D34" s="56"/>
      <c r="E34" s="56"/>
      <c r="F34" s="56"/>
      <c r="G34" s="56"/>
      <c r="H34" s="56"/>
      <c r="I34" s="56"/>
      <c r="J34" s="56"/>
      <c r="K34" s="56"/>
      <c r="L34" s="91"/>
    </row>
    <row r="35" spans="1:22" ht="13.15">
      <c r="A35" s="73"/>
      <c r="C35" s="267" t="s">
        <v>248</v>
      </c>
      <c r="D35" s="56"/>
      <c r="E35" s="56"/>
      <c r="F35" s="56"/>
      <c r="G35" s="56"/>
      <c r="H35" s="56"/>
      <c r="I35" s="56"/>
      <c r="J35" s="56"/>
      <c r="K35" s="56"/>
      <c r="L35" s="91"/>
    </row>
    <row r="36" spans="1:22" ht="13.15" thickBot="1">
      <c r="A36" s="73"/>
      <c r="C36" s="148" t="s">
        <v>245</v>
      </c>
      <c r="D36" s="160"/>
      <c r="E36" s="160"/>
      <c r="F36" s="178"/>
      <c r="G36" s="178">
        <f>((($L32-$F36)*G32)*(1+Cashflow!D$8/2))*G33*12</f>
        <v>30300</v>
      </c>
      <c r="H36" s="178">
        <f>((($L32-$F36)*H32)*(1+Cashflow!D$8)*(1+Cashflow!E$8/2))*H33*12</f>
        <v>61812</v>
      </c>
      <c r="I36" s="178">
        <f>((($L32-$F36)*I32)*(1+Cashflow!D$8)*(1+Cashflow!E$8)*(1+Cashflow!F$8/2))*I33*12</f>
        <v>63048.240000000005</v>
      </c>
      <c r="J36" s="178">
        <f>((($L32-$F36)*J32)*(1+Cashflow!D$8)*(1+Cashflow!E$8)*(1+Cashflow!F$8)*(1+Cashflow!G$8/2))*J33*12</f>
        <v>64309.204800000014</v>
      </c>
      <c r="K36" s="178"/>
      <c r="L36" s="268"/>
      <c r="M36" s="5"/>
      <c r="N36" s="5"/>
      <c r="O36" s="5"/>
      <c r="P36" s="5"/>
      <c r="Q36" s="5"/>
      <c r="R36" s="5"/>
      <c r="S36" s="5"/>
      <c r="T36" s="5"/>
      <c r="U36" s="5"/>
      <c r="V36" s="5"/>
    </row>
    <row r="37" spans="1:22">
      <c r="F37" s="5"/>
      <c r="G37" s="28">
        <f>+SUM(G36:G36)/U/12</f>
        <v>63.125</v>
      </c>
      <c r="H37" s="28">
        <f>+SUM(H36:H36)/U/12</f>
        <v>128.77500000000001</v>
      </c>
      <c r="I37" s="28">
        <f>+SUM(I36:I36)/U/12</f>
        <v>131.35050000000001</v>
      </c>
      <c r="J37" s="28">
        <f>+SUM(J36:J36)/U/12</f>
        <v>133.97751000000002</v>
      </c>
      <c r="K37" s="5"/>
      <c r="L37" s="5"/>
      <c r="M37" s="5"/>
      <c r="N37" s="5"/>
      <c r="O37" s="5"/>
      <c r="P37" s="5"/>
      <c r="Q37" s="5"/>
      <c r="R37" s="5"/>
      <c r="S37" s="5"/>
      <c r="T37" s="5"/>
      <c r="U37" s="5"/>
      <c r="V37" s="5"/>
    </row>
  </sheetData>
  <sortState xmlns:xlrd2="http://schemas.microsoft.com/office/spreadsheetml/2017/richdata2" ref="O6:O21">
    <sortCondition ref="O21"/>
  </sortState>
  <pageMargins left="0.7" right="0.7" top="0.75" bottom="0.75" header="0.3" footer="0.3"/>
  <pageSetup orientation="portrait" r:id="rId1"/>
  <headerFooter>
    <oddFooter>&amp;C&amp;"Copperplate Gothic Light,Bold"&amp;16&amp;K04-049Chavis Capital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AB80"/>
  <sheetViews>
    <sheetView showGridLines="0" zoomScale="85" zoomScaleNormal="85" workbookViewId="0">
      <pane xSplit="4" ySplit="1" topLeftCell="E44" activePane="bottomRight" state="frozen"/>
      <selection activeCell="H10" sqref="H10"/>
      <selection pane="topRight" activeCell="H10" sqref="H10"/>
      <selection pane="bottomLeft" activeCell="H10" sqref="H10"/>
      <selection pane="bottomRight" activeCell="F74" sqref="F74:AB76"/>
    </sheetView>
  </sheetViews>
  <sheetFormatPr defaultRowHeight="12.75"/>
  <cols>
    <col min="1" max="1" width="2.9296875" bestFit="1" customWidth="1"/>
    <col min="2" max="2" width="29" customWidth="1"/>
    <col min="3" max="3" width="29" style="52" customWidth="1"/>
    <col min="4" max="4" width="1.73046875" customWidth="1"/>
    <col min="5" max="5" width="13.06640625" bestFit="1" customWidth="1"/>
    <col min="6" max="6" width="9.1328125" style="61"/>
    <col min="7" max="7" width="9.1328125" style="14"/>
    <col min="8" max="8" width="9.1328125" style="61"/>
    <col min="9" max="9" width="9.1328125" style="14"/>
    <col min="10" max="10" width="9.1328125" style="61"/>
    <col min="11" max="11" width="9.1328125" style="14"/>
    <col min="12" max="12" width="9.1328125" style="61"/>
    <col min="13" max="13" width="9.1328125" style="14"/>
    <col min="14" max="14" width="9.86328125" style="61" bestFit="1" customWidth="1"/>
    <col min="15" max="15" width="9.1328125" style="14"/>
    <col min="16" max="16" width="9.86328125" style="61" bestFit="1" customWidth="1"/>
    <col min="17" max="17" width="9.1328125" style="14"/>
    <col min="18" max="18" width="9.86328125" style="61" bestFit="1" customWidth="1"/>
    <col min="19" max="19" width="9.1328125" style="14"/>
    <col min="20" max="20" width="9.86328125" style="61" bestFit="1" customWidth="1"/>
    <col min="21" max="21" width="9.1328125" style="14"/>
    <col min="22" max="22" width="9.86328125" style="61" bestFit="1" customWidth="1"/>
    <col min="23" max="23" width="9.1328125" style="14"/>
    <col min="24" max="24" width="9.86328125" style="61" bestFit="1" customWidth="1"/>
    <col min="25" max="25" width="9.1328125" style="14"/>
    <col min="26" max="26" width="9.86328125" style="61" bestFit="1" customWidth="1"/>
    <col min="27" max="27" width="9.1328125" style="14"/>
    <col min="28" max="28" width="9.86328125" style="61" bestFit="1" customWidth="1"/>
  </cols>
  <sheetData>
    <row r="1" spans="1:28" ht="30.4" thickBot="1">
      <c r="A1" s="577" t="str">
        <f ca="1">MID(CELL("filename",A1),FIND("]",CELL("filename",A1))+1,255)</f>
        <v>Rent Comps - Input</v>
      </c>
      <c r="B1" s="577"/>
      <c r="C1" s="577"/>
      <c r="D1" s="59"/>
      <c r="E1" s="59"/>
      <c r="F1" s="574" t="s">
        <v>91</v>
      </c>
      <c r="G1" s="575"/>
      <c r="H1" s="576"/>
      <c r="J1" s="574" t="s">
        <v>92</v>
      </c>
      <c r="K1" s="575"/>
      <c r="L1" s="576"/>
      <c r="N1" s="574" t="s">
        <v>93</v>
      </c>
      <c r="O1" s="575"/>
      <c r="P1" s="576"/>
      <c r="R1" s="574" t="s">
        <v>195</v>
      </c>
      <c r="S1" s="575"/>
      <c r="T1" s="576"/>
      <c r="V1" s="574" t="s">
        <v>196</v>
      </c>
      <c r="W1" s="575"/>
      <c r="X1" s="576"/>
      <c r="Z1" s="574" t="s">
        <v>94</v>
      </c>
      <c r="AA1" s="575"/>
      <c r="AB1" s="576"/>
    </row>
    <row r="2" spans="1:28">
      <c r="A2">
        <v>1</v>
      </c>
      <c r="B2" t="s">
        <v>194</v>
      </c>
      <c r="C2" s="52" t="str">
        <f>+Name&amp;" - "&amp;"(Subject)"</f>
        <v xml:space="preserve"> - (Subject)</v>
      </c>
      <c r="E2" t="s">
        <v>197</v>
      </c>
      <c r="F2" s="62">
        <f>+LOOKUP(F$1,Dashboard!$F$4:$F$10,Dashboard!$I$4:$I$10)</f>
        <v>0</v>
      </c>
      <c r="H2" s="62">
        <f>+LOOKUP(F$1,Dashboard!$F$4:$F$10,Dashboard!$K$4:$K$10)</f>
        <v>0</v>
      </c>
      <c r="J2" s="62">
        <f>+LOOKUP(J$1,Dashboard!$F$4:$F$10,Dashboard!$I$4:$I$10)</f>
        <v>800</v>
      </c>
      <c r="L2" s="62">
        <f>+LOOKUP(J$1,Dashboard!$F$4:$F$10,Dashboard!$K$4:$K$10)</f>
        <v>900</v>
      </c>
      <c r="N2" s="62">
        <f>+LOOKUP(N$1,Dashboard!$F$4:$F$10,Dashboard!$I$4:$I$10)</f>
        <v>1000</v>
      </c>
      <c r="P2" s="62">
        <f>+LOOKUP(N$1,Dashboard!$F$4:$F$10,Dashboard!$K$4:$K$10)</f>
        <v>1200</v>
      </c>
      <c r="R2" s="62">
        <f>+LOOKUP(R$1,Dashboard!$F$4:$F$10,Dashboard!$I$4:$I$10)</f>
        <v>1000</v>
      </c>
      <c r="T2" s="62">
        <f>+LOOKUP(R$1,Dashboard!$F$4:$F$10,Dashboard!$K$4:$K$10)</f>
        <v>1200</v>
      </c>
      <c r="V2" s="62">
        <f>+LOOKUP(V$1,Dashboard!$F$4:$F$10,Dashboard!$I$4:$I$10)</f>
        <v>1000</v>
      </c>
      <c r="X2" s="62">
        <f>+LOOKUP(V$1,Dashboard!$F$4:$F$10,Dashboard!$K$4:$K$10)</f>
        <v>1200</v>
      </c>
      <c r="Z2" s="62">
        <f>+LOOKUP(Z$1,Dashboard!$F$4:$F$10,Dashboard!$I$4:$I$10)</f>
        <v>1000</v>
      </c>
      <c r="AB2" s="62">
        <f>+LOOKUP(Z$1,Dashboard!$F$4:$F$10,Dashboard!$K$4:$K$10)</f>
        <v>1200</v>
      </c>
    </row>
    <row r="3" spans="1:28">
      <c r="B3" t="s">
        <v>1</v>
      </c>
      <c r="C3" s="52">
        <f>+Address</f>
        <v>0</v>
      </c>
      <c r="E3" t="s">
        <v>198</v>
      </c>
      <c r="F3" s="62"/>
      <c r="H3" s="62"/>
      <c r="J3" s="62"/>
      <c r="L3" s="62"/>
      <c r="N3" s="62"/>
      <c r="P3" s="62"/>
      <c r="R3" s="62"/>
      <c r="T3" s="62"/>
      <c r="V3" s="62"/>
      <c r="X3" s="62"/>
      <c r="Z3" s="62"/>
      <c r="AB3" s="62"/>
    </row>
    <row r="4" spans="1:28">
      <c r="B4" t="s">
        <v>216</v>
      </c>
      <c r="C4" s="52" t="str">
        <f>+Dashboard!D6&amp;" "&amp;Dashboard!D8</f>
        <v xml:space="preserve"> </v>
      </c>
      <c r="E4" t="s">
        <v>45</v>
      </c>
      <c r="F4" s="63">
        <f>+LOOKUP(F$1,Dashboard!$F$4:$F$10,Dashboard!$H$4:$H$10)</f>
        <v>0</v>
      </c>
      <c r="H4" s="63">
        <f>+F4</f>
        <v>0</v>
      </c>
      <c r="J4" s="63">
        <f>+LOOKUP(J$1,Dashboard!$F$4:$F$10,Dashboard!$H$4:$H$10)</f>
        <v>700</v>
      </c>
      <c r="L4" s="63">
        <f>+J4</f>
        <v>700</v>
      </c>
      <c r="N4" s="63">
        <f>+LOOKUP(N$1,Dashboard!$F$4:$F$10,Dashboard!$H$4:$H$10)</f>
        <v>1000</v>
      </c>
      <c r="P4" s="63">
        <f>+N4</f>
        <v>1000</v>
      </c>
      <c r="R4" s="63">
        <f>+LOOKUP(R$1,Dashboard!$F$4:$F$10,Dashboard!$H$4:$H$10)</f>
        <v>1000</v>
      </c>
      <c r="T4" s="63">
        <f>+R4</f>
        <v>1000</v>
      </c>
      <c r="V4" s="63">
        <f>+LOOKUP(V$1,Dashboard!$F$4:$F$10,Dashboard!$H$4:$H$10)</f>
        <v>1000</v>
      </c>
      <c r="X4" s="63">
        <f>+V4</f>
        <v>1000</v>
      </c>
      <c r="Z4" s="63">
        <f>+LOOKUP(Z$1,Dashboard!$F$4:$F$10,Dashboard!$H$4:$H$10)</f>
        <v>1000</v>
      </c>
      <c r="AB4" s="63">
        <f>+Z4</f>
        <v>1000</v>
      </c>
    </row>
    <row r="5" spans="1:28">
      <c r="B5" t="s">
        <v>191</v>
      </c>
      <c r="C5" s="52">
        <f>+YearBuilt</f>
        <v>0</v>
      </c>
    </row>
    <row r="6" spans="1:28">
      <c r="B6" t="s">
        <v>3</v>
      </c>
      <c r="C6" s="52">
        <f>+U</f>
        <v>40</v>
      </c>
    </row>
    <row r="7" spans="1:28">
      <c r="B7" t="s">
        <v>192</v>
      </c>
    </row>
    <row r="8" spans="1:28">
      <c r="B8" t="s">
        <v>193</v>
      </c>
      <c r="C8" s="505"/>
    </row>
    <row r="10" spans="1:28">
      <c r="A10">
        <f>+A2+1</f>
        <v>2</v>
      </c>
      <c r="B10" t="s">
        <v>0</v>
      </c>
      <c r="E10" t="s">
        <v>197</v>
      </c>
      <c r="F10" s="62"/>
      <c r="H10" s="62" t="str">
        <f>IF(F10="","",F10)</f>
        <v/>
      </c>
      <c r="J10" s="62"/>
      <c r="L10" s="62" t="str">
        <f>IF(J10="","",J10)</f>
        <v/>
      </c>
      <c r="N10" s="62"/>
      <c r="P10" s="62" t="str">
        <f>IF(N10="","",N10)</f>
        <v/>
      </c>
      <c r="R10" s="62"/>
      <c r="T10" s="62" t="str">
        <f>IF(R10="","",R10)</f>
        <v/>
      </c>
      <c r="V10" s="62"/>
      <c r="X10" s="62" t="str">
        <f>IF(V10="","",V10)</f>
        <v/>
      </c>
      <c r="Z10" s="62"/>
      <c r="AB10" s="62" t="str">
        <f>IF(Z10="","",Z10)</f>
        <v/>
      </c>
    </row>
    <row r="11" spans="1:28">
      <c r="B11" t="s">
        <v>1</v>
      </c>
      <c r="E11" t="s">
        <v>198</v>
      </c>
      <c r="F11" s="62"/>
      <c r="H11" s="62"/>
      <c r="J11" s="62"/>
      <c r="L11" s="62"/>
      <c r="N11" s="62"/>
      <c r="P11" s="62"/>
      <c r="R11" s="62"/>
      <c r="T11" s="62"/>
      <c r="V11" s="62"/>
      <c r="X11" s="62"/>
      <c r="Z11" s="62"/>
      <c r="AB11" s="62"/>
    </row>
    <row r="12" spans="1:28">
      <c r="B12" t="s">
        <v>216</v>
      </c>
      <c r="E12" t="s">
        <v>45</v>
      </c>
      <c r="F12" s="63"/>
      <c r="H12" s="63" t="str">
        <f>IF(F12="","",F12)</f>
        <v/>
      </c>
      <c r="J12" s="63"/>
      <c r="L12" s="63" t="str">
        <f>IF(J12="","",J12)</f>
        <v/>
      </c>
      <c r="N12" s="63"/>
      <c r="P12" s="63" t="str">
        <f>IF(N12="","",N12)</f>
        <v/>
      </c>
      <c r="R12" s="63"/>
      <c r="T12" s="63" t="str">
        <f>IF(R12="","",R12)</f>
        <v/>
      </c>
      <c r="V12" s="63"/>
      <c r="X12" s="63" t="str">
        <f>IF(V12="","",V12)</f>
        <v/>
      </c>
      <c r="Z12" s="63"/>
      <c r="AB12" s="63" t="str">
        <f>IF(Z12="","",Z12)</f>
        <v/>
      </c>
    </row>
    <row r="13" spans="1:28">
      <c r="B13" t="s">
        <v>191</v>
      </c>
    </row>
    <row r="14" spans="1:28">
      <c r="B14" t="s">
        <v>3</v>
      </c>
    </row>
    <row r="15" spans="1:28">
      <c r="B15" t="s">
        <v>192</v>
      </c>
    </row>
    <row r="16" spans="1:28">
      <c r="B16" t="s">
        <v>193</v>
      </c>
      <c r="C16" s="505"/>
    </row>
    <row r="18" spans="1:28">
      <c r="A18">
        <f>+A10+1</f>
        <v>3</v>
      </c>
      <c r="B18" t="s">
        <v>0</v>
      </c>
      <c r="E18" t="s">
        <v>197</v>
      </c>
      <c r="F18" s="62"/>
      <c r="H18" s="62" t="str">
        <f>IF(F18="","",F18)</f>
        <v/>
      </c>
      <c r="J18" s="62"/>
      <c r="L18" s="62" t="str">
        <f>IF(J18="","",J18)</f>
        <v/>
      </c>
      <c r="N18" s="62"/>
      <c r="P18" s="62" t="str">
        <f>IF(N18="","",N18)</f>
        <v/>
      </c>
      <c r="R18" s="62"/>
      <c r="T18" s="62" t="str">
        <f>IF(R18="","",R18)</f>
        <v/>
      </c>
      <c r="V18" s="62"/>
      <c r="X18" s="62" t="str">
        <f>IF(V18="","",V18)</f>
        <v/>
      </c>
      <c r="Z18" s="62"/>
      <c r="AB18" s="62" t="str">
        <f>IF(Z18="","",Z18)</f>
        <v/>
      </c>
    </row>
    <row r="19" spans="1:28">
      <c r="B19" t="s">
        <v>1</v>
      </c>
      <c r="E19" t="s">
        <v>198</v>
      </c>
      <c r="F19" s="62"/>
      <c r="H19" s="62"/>
      <c r="J19" s="62"/>
      <c r="L19" s="62"/>
      <c r="N19" s="62"/>
      <c r="P19" s="62"/>
      <c r="R19" s="62"/>
      <c r="T19" s="62"/>
      <c r="V19" s="62"/>
      <c r="X19" s="62"/>
      <c r="Z19" s="62"/>
      <c r="AB19" s="62"/>
    </row>
    <row r="20" spans="1:28">
      <c r="B20" t="s">
        <v>216</v>
      </c>
      <c r="E20" t="s">
        <v>45</v>
      </c>
      <c r="F20" s="63"/>
      <c r="H20" s="63" t="str">
        <f>IF(F20="","",F20)</f>
        <v/>
      </c>
      <c r="J20" s="63"/>
      <c r="L20" s="63" t="str">
        <f>IF(J20="","",J20)</f>
        <v/>
      </c>
      <c r="N20" s="63"/>
      <c r="P20" s="63" t="str">
        <f>IF(N20="","",N20)</f>
        <v/>
      </c>
      <c r="R20" s="63"/>
      <c r="T20" s="63" t="str">
        <f>IF(R20="","",R20)</f>
        <v/>
      </c>
      <c r="V20" s="63"/>
      <c r="X20" s="63" t="str">
        <f>IF(V20="","",V20)</f>
        <v/>
      </c>
      <c r="Z20" s="63"/>
      <c r="AB20" s="63" t="str">
        <f>IF(Z20="","",Z20)</f>
        <v/>
      </c>
    </row>
    <row r="21" spans="1:28">
      <c r="B21" t="s">
        <v>191</v>
      </c>
    </row>
    <row r="22" spans="1:28">
      <c r="B22" t="s">
        <v>3</v>
      </c>
    </row>
    <row r="23" spans="1:28">
      <c r="B23" t="s">
        <v>192</v>
      </c>
    </row>
    <row r="24" spans="1:28">
      <c r="B24" t="s">
        <v>193</v>
      </c>
      <c r="C24" s="505"/>
    </row>
    <row r="26" spans="1:28">
      <c r="A26">
        <f>+A18+1</f>
        <v>4</v>
      </c>
      <c r="B26" t="s">
        <v>0</v>
      </c>
      <c r="E26" t="s">
        <v>197</v>
      </c>
      <c r="F26" s="62"/>
      <c r="H26" s="62" t="str">
        <f>IF(F26="","",F26)</f>
        <v/>
      </c>
      <c r="J26" s="62"/>
      <c r="L26" s="62" t="str">
        <f>IF(J26="","",J26)</f>
        <v/>
      </c>
      <c r="N26" s="62"/>
      <c r="P26" s="62" t="str">
        <f>IF(N26="","",N26)</f>
        <v/>
      </c>
      <c r="R26" s="62"/>
      <c r="T26" s="62" t="str">
        <f>IF(R26="","",R26)</f>
        <v/>
      </c>
      <c r="V26" s="62"/>
      <c r="X26" s="62" t="str">
        <f>IF(V26="","",V26)</f>
        <v/>
      </c>
      <c r="Z26" s="62"/>
      <c r="AB26" s="62" t="str">
        <f>IF(Z26="","",Z26)</f>
        <v/>
      </c>
    </row>
    <row r="27" spans="1:28">
      <c r="B27" t="s">
        <v>1</v>
      </c>
      <c r="E27" t="s">
        <v>198</v>
      </c>
      <c r="F27" s="62"/>
      <c r="H27" s="62"/>
      <c r="J27" s="62"/>
      <c r="L27" s="62"/>
      <c r="N27" s="62"/>
      <c r="P27" s="62"/>
      <c r="R27" s="62"/>
      <c r="T27" s="62"/>
      <c r="V27" s="62"/>
      <c r="X27" s="62"/>
      <c r="Z27" s="62"/>
      <c r="AB27" s="62"/>
    </row>
    <row r="28" spans="1:28">
      <c r="B28" t="s">
        <v>216</v>
      </c>
      <c r="E28" t="s">
        <v>45</v>
      </c>
      <c r="F28" s="63"/>
      <c r="H28" s="63" t="str">
        <f>IF(F28="","",F28)</f>
        <v/>
      </c>
      <c r="J28" s="63"/>
      <c r="L28" s="63" t="str">
        <f>IF(J28="","",J28)</f>
        <v/>
      </c>
      <c r="N28" s="63"/>
      <c r="P28" s="63" t="str">
        <f>IF(N28="","",N28)</f>
        <v/>
      </c>
      <c r="R28" s="63"/>
      <c r="T28" s="63" t="str">
        <f>IF(R28="","",R28)</f>
        <v/>
      </c>
      <c r="V28" s="63"/>
      <c r="X28" s="63" t="str">
        <f>IF(V28="","",V28)</f>
        <v/>
      </c>
      <c r="Z28" s="63"/>
      <c r="AB28" s="63" t="str">
        <f>IF(Z28="","",Z28)</f>
        <v/>
      </c>
    </row>
    <row r="29" spans="1:28">
      <c r="B29" t="s">
        <v>191</v>
      </c>
    </row>
    <row r="30" spans="1:28">
      <c r="B30" t="s">
        <v>3</v>
      </c>
    </row>
    <row r="31" spans="1:28">
      <c r="B31" t="s">
        <v>192</v>
      </c>
    </row>
    <row r="32" spans="1:28">
      <c r="B32" t="s">
        <v>193</v>
      </c>
      <c r="C32" s="505"/>
    </row>
    <row r="34" spans="1:28">
      <c r="A34">
        <f>+A26+1</f>
        <v>5</v>
      </c>
      <c r="B34" t="s">
        <v>0</v>
      </c>
      <c r="E34" t="s">
        <v>197</v>
      </c>
      <c r="F34" s="62"/>
      <c r="H34" s="62" t="str">
        <f>IF(F34="","",F34)</f>
        <v/>
      </c>
      <c r="J34" s="62"/>
      <c r="L34" s="62" t="str">
        <f>IF(J34="","",J34)</f>
        <v/>
      </c>
      <c r="N34" s="62"/>
      <c r="P34" s="62" t="str">
        <f>IF(N34="","",N34)</f>
        <v/>
      </c>
      <c r="R34" s="62"/>
      <c r="T34" s="62" t="str">
        <f>IF(R34="","",R34)</f>
        <v/>
      </c>
      <c r="V34" s="62"/>
      <c r="X34" s="62" t="str">
        <f>IF(V34="","",V34)</f>
        <v/>
      </c>
      <c r="Z34" s="62"/>
      <c r="AB34" s="62" t="str">
        <f>IF(Z34="","",Z34)</f>
        <v/>
      </c>
    </row>
    <row r="35" spans="1:28">
      <c r="B35" t="s">
        <v>1</v>
      </c>
      <c r="E35" t="s">
        <v>198</v>
      </c>
      <c r="F35" s="62"/>
      <c r="H35" s="62"/>
      <c r="J35" s="62"/>
      <c r="L35" s="62"/>
      <c r="N35" s="62"/>
      <c r="P35" s="62"/>
      <c r="R35" s="62"/>
      <c r="T35" s="62"/>
      <c r="V35" s="62"/>
      <c r="X35" s="62"/>
      <c r="Z35" s="62"/>
      <c r="AB35" s="62"/>
    </row>
    <row r="36" spans="1:28">
      <c r="B36" t="s">
        <v>216</v>
      </c>
      <c r="E36" t="s">
        <v>45</v>
      </c>
      <c r="F36" s="63"/>
      <c r="H36" s="63" t="str">
        <f>IF(F36="","",F36)</f>
        <v/>
      </c>
      <c r="J36" s="63"/>
      <c r="L36" s="63" t="str">
        <f>IF(J36="","",J36)</f>
        <v/>
      </c>
      <c r="N36" s="63"/>
      <c r="P36" s="63" t="str">
        <f>IF(N36="","",N36)</f>
        <v/>
      </c>
      <c r="R36" s="63"/>
      <c r="T36" s="63" t="str">
        <f>IF(R36="","",R36)</f>
        <v/>
      </c>
      <c r="V36" s="63"/>
      <c r="X36" s="63" t="str">
        <f>IF(V36="","",V36)</f>
        <v/>
      </c>
      <c r="Z36" s="63"/>
      <c r="AB36" s="63" t="str">
        <f>IF(Z36="","",Z36)</f>
        <v/>
      </c>
    </row>
    <row r="37" spans="1:28">
      <c r="B37" t="s">
        <v>191</v>
      </c>
    </row>
    <row r="38" spans="1:28">
      <c r="B38" t="s">
        <v>3</v>
      </c>
    </row>
    <row r="39" spans="1:28">
      <c r="B39" t="s">
        <v>192</v>
      </c>
    </row>
    <row r="40" spans="1:28">
      <c r="B40" t="s">
        <v>193</v>
      </c>
      <c r="C40" s="505"/>
    </row>
    <row r="42" spans="1:28">
      <c r="A42">
        <f>+A34+1</f>
        <v>6</v>
      </c>
      <c r="B42" t="s">
        <v>0</v>
      </c>
      <c r="E42" t="s">
        <v>197</v>
      </c>
      <c r="F42" s="62"/>
      <c r="H42" s="62" t="str">
        <f>IF(F42="","",F42)</f>
        <v/>
      </c>
      <c r="J42" s="62"/>
      <c r="L42" s="62" t="str">
        <f>IF(J42="","",J42)</f>
        <v/>
      </c>
      <c r="N42" s="62"/>
      <c r="P42" s="62" t="str">
        <f>IF(N42="","",N42)</f>
        <v/>
      </c>
      <c r="R42" s="62"/>
      <c r="T42" s="62" t="str">
        <f>IF(R42="","",R42)</f>
        <v/>
      </c>
      <c r="V42" s="62"/>
      <c r="X42" s="62" t="str">
        <f>IF(V42="","",V42)</f>
        <v/>
      </c>
      <c r="Z42" s="62"/>
      <c r="AB42" s="62" t="str">
        <f>IF(Z42="","",Z42)</f>
        <v/>
      </c>
    </row>
    <row r="43" spans="1:28">
      <c r="B43" t="s">
        <v>1</v>
      </c>
      <c r="E43" t="s">
        <v>198</v>
      </c>
      <c r="F43" s="62"/>
      <c r="H43" s="62"/>
      <c r="J43" s="62"/>
      <c r="L43" s="62"/>
      <c r="N43" s="62"/>
      <c r="P43" s="62"/>
      <c r="R43" s="62"/>
      <c r="T43" s="62"/>
      <c r="V43" s="62"/>
      <c r="X43" s="62"/>
      <c r="Z43" s="62"/>
      <c r="AB43" s="62"/>
    </row>
    <row r="44" spans="1:28">
      <c r="B44" t="s">
        <v>216</v>
      </c>
      <c r="E44" t="s">
        <v>45</v>
      </c>
      <c r="F44" s="63"/>
      <c r="H44" s="63" t="str">
        <f>IF(F44="","",F44)</f>
        <v/>
      </c>
      <c r="J44" s="63"/>
      <c r="L44" s="63" t="str">
        <f>IF(J44="","",J44)</f>
        <v/>
      </c>
      <c r="N44" s="63"/>
      <c r="P44" s="63" t="str">
        <f>IF(N44="","",N44)</f>
        <v/>
      </c>
      <c r="R44" s="63"/>
      <c r="T44" s="63" t="str">
        <f>IF(R44="","",R44)</f>
        <v/>
      </c>
      <c r="V44" s="63"/>
      <c r="X44" s="63" t="str">
        <f>IF(V44="","",V44)</f>
        <v/>
      </c>
      <c r="Z44" s="63"/>
      <c r="AB44" s="63" t="str">
        <f>IF(Z44="","",Z44)</f>
        <v/>
      </c>
    </row>
    <row r="45" spans="1:28">
      <c r="B45" t="s">
        <v>191</v>
      </c>
    </row>
    <row r="46" spans="1:28">
      <c r="B46" t="s">
        <v>3</v>
      </c>
    </row>
    <row r="47" spans="1:28">
      <c r="B47" t="s">
        <v>192</v>
      </c>
    </row>
    <row r="48" spans="1:28">
      <c r="B48" t="s">
        <v>193</v>
      </c>
      <c r="C48" s="505"/>
    </row>
    <row r="50" spans="1:28">
      <c r="A50">
        <f>+A42+1</f>
        <v>7</v>
      </c>
      <c r="B50" t="s">
        <v>0</v>
      </c>
      <c r="E50" t="s">
        <v>197</v>
      </c>
      <c r="F50" s="62"/>
      <c r="H50" s="62" t="str">
        <f>IF(F50="","",F50)</f>
        <v/>
      </c>
      <c r="J50" s="62"/>
      <c r="L50" s="62" t="str">
        <f>IF(J50="","",J50)</f>
        <v/>
      </c>
      <c r="N50" s="62"/>
      <c r="P50" s="62" t="str">
        <f>IF(N50="","",N50)</f>
        <v/>
      </c>
      <c r="R50" s="62"/>
      <c r="T50" s="62" t="str">
        <f>IF(R50="","",R50)</f>
        <v/>
      </c>
      <c r="V50" s="62"/>
      <c r="X50" s="62" t="str">
        <f>IF(V50="","",V50)</f>
        <v/>
      </c>
      <c r="Z50" s="62"/>
      <c r="AB50" s="62" t="str">
        <f>IF(Z50="","",Z50)</f>
        <v/>
      </c>
    </row>
    <row r="51" spans="1:28">
      <c r="B51" t="s">
        <v>1</v>
      </c>
      <c r="E51" t="s">
        <v>198</v>
      </c>
      <c r="F51" s="62"/>
      <c r="H51" s="62"/>
      <c r="J51" s="62"/>
      <c r="L51" s="62"/>
      <c r="N51" s="62"/>
      <c r="P51" s="62"/>
      <c r="R51" s="62"/>
      <c r="T51" s="62"/>
      <c r="V51" s="62"/>
      <c r="X51" s="62"/>
      <c r="Z51" s="62"/>
      <c r="AB51" s="62"/>
    </row>
    <row r="52" spans="1:28">
      <c r="B52" t="s">
        <v>216</v>
      </c>
      <c r="E52" t="s">
        <v>45</v>
      </c>
      <c r="F52" s="63"/>
      <c r="H52" s="63" t="str">
        <f>IF(F52="","",F52)</f>
        <v/>
      </c>
      <c r="J52" s="63"/>
      <c r="L52" s="63" t="str">
        <f>IF(J52="","",J52)</f>
        <v/>
      </c>
      <c r="N52" s="63"/>
      <c r="P52" s="63" t="str">
        <f>IF(N52="","",N52)</f>
        <v/>
      </c>
      <c r="R52" s="63"/>
      <c r="T52" s="63" t="str">
        <f>IF(R52="","",R52)</f>
        <v/>
      </c>
      <c r="V52" s="63"/>
      <c r="X52" s="63" t="str">
        <f>IF(V52="","",V52)</f>
        <v/>
      </c>
      <c r="Z52" s="63"/>
      <c r="AB52" s="63" t="str">
        <f>IF(Z52="","",Z52)</f>
        <v/>
      </c>
    </row>
    <row r="53" spans="1:28">
      <c r="B53" t="s">
        <v>191</v>
      </c>
    </row>
    <row r="54" spans="1:28">
      <c r="B54" t="s">
        <v>3</v>
      </c>
    </row>
    <row r="55" spans="1:28">
      <c r="B55" t="s">
        <v>192</v>
      </c>
    </row>
    <row r="56" spans="1:28">
      <c r="B56" t="s">
        <v>193</v>
      </c>
      <c r="C56" s="505"/>
    </row>
    <row r="58" spans="1:28">
      <c r="A58">
        <f>+A50+1</f>
        <v>8</v>
      </c>
      <c r="B58" t="s">
        <v>0</v>
      </c>
      <c r="E58" t="s">
        <v>197</v>
      </c>
      <c r="F58" s="62"/>
      <c r="H58" s="62" t="str">
        <f>IF(F58="","",F58)</f>
        <v/>
      </c>
      <c r="J58" s="62"/>
      <c r="L58" s="62" t="str">
        <f>IF(J58="","",J58)</f>
        <v/>
      </c>
      <c r="N58" s="62"/>
      <c r="P58" s="62" t="str">
        <f>IF(N58="","",N58)</f>
        <v/>
      </c>
      <c r="R58" s="62"/>
      <c r="T58" s="62" t="str">
        <f>IF(R58="","",R58)</f>
        <v/>
      </c>
      <c r="V58" s="62"/>
      <c r="X58" s="62" t="str">
        <f>IF(V58="","",V58)</f>
        <v/>
      </c>
      <c r="Z58" s="62"/>
      <c r="AB58" s="62" t="str">
        <f>IF(Z58="","",Z58)</f>
        <v/>
      </c>
    </row>
    <row r="59" spans="1:28">
      <c r="B59" t="s">
        <v>1</v>
      </c>
      <c r="E59" t="s">
        <v>198</v>
      </c>
      <c r="F59" s="62"/>
      <c r="H59" s="62"/>
      <c r="J59" s="62"/>
      <c r="L59" s="62"/>
      <c r="N59" s="62"/>
      <c r="P59" s="62"/>
      <c r="R59" s="62"/>
      <c r="T59" s="62"/>
      <c r="V59" s="62"/>
      <c r="X59" s="62"/>
      <c r="Z59" s="62"/>
      <c r="AB59" s="62"/>
    </row>
    <row r="60" spans="1:28">
      <c r="B60" t="s">
        <v>216</v>
      </c>
      <c r="E60" t="s">
        <v>45</v>
      </c>
      <c r="F60" s="63"/>
      <c r="H60" s="63" t="str">
        <f>IF(F60="","",F60)</f>
        <v/>
      </c>
      <c r="J60" s="63"/>
      <c r="L60" s="63" t="str">
        <f>IF(J60="","",J60)</f>
        <v/>
      </c>
      <c r="N60" s="63"/>
      <c r="P60" s="63" t="str">
        <f>IF(N60="","",N60)</f>
        <v/>
      </c>
      <c r="R60" s="63"/>
      <c r="T60" s="63" t="str">
        <f>IF(R60="","",R60)</f>
        <v/>
      </c>
      <c r="V60" s="63"/>
      <c r="X60" s="63" t="str">
        <f>IF(V60="","",V60)</f>
        <v/>
      </c>
      <c r="Z60" s="63"/>
      <c r="AB60" s="63" t="str">
        <f>IF(Z60="","",Z60)</f>
        <v/>
      </c>
    </row>
    <row r="61" spans="1:28">
      <c r="B61" t="s">
        <v>191</v>
      </c>
    </row>
    <row r="62" spans="1:28">
      <c r="B62" t="s">
        <v>3</v>
      </c>
    </row>
    <row r="63" spans="1:28">
      <c r="B63" t="s">
        <v>192</v>
      </c>
    </row>
    <row r="64" spans="1:28">
      <c r="B64" t="s">
        <v>193</v>
      </c>
      <c r="C64" s="505"/>
    </row>
    <row r="66" spans="1:28">
      <c r="A66">
        <f>+A58+1</f>
        <v>9</v>
      </c>
      <c r="B66" t="s">
        <v>0</v>
      </c>
      <c r="E66" t="s">
        <v>197</v>
      </c>
      <c r="F66" s="62"/>
      <c r="H66" s="62" t="str">
        <f>IF(F66="","",F66)</f>
        <v/>
      </c>
      <c r="J66" s="62"/>
      <c r="L66" s="62" t="str">
        <f>IF(J66="","",J66)</f>
        <v/>
      </c>
      <c r="N66" s="62"/>
      <c r="P66" s="62" t="str">
        <f>IF(N66="","",N66)</f>
        <v/>
      </c>
      <c r="R66" s="62"/>
      <c r="T66" s="62" t="str">
        <f>IF(R66="","",R66)</f>
        <v/>
      </c>
      <c r="V66" s="62"/>
      <c r="X66" s="62" t="str">
        <f>IF(V66="","",V66)</f>
        <v/>
      </c>
      <c r="Z66" s="62"/>
      <c r="AB66" s="62" t="str">
        <f>IF(Z66="","",Z66)</f>
        <v/>
      </c>
    </row>
    <row r="67" spans="1:28">
      <c r="B67" t="s">
        <v>1</v>
      </c>
      <c r="E67" t="s">
        <v>198</v>
      </c>
      <c r="F67" s="62"/>
      <c r="H67" s="62"/>
      <c r="J67" s="62"/>
      <c r="L67" s="62"/>
      <c r="N67" s="62"/>
      <c r="P67" s="62"/>
      <c r="R67" s="62"/>
      <c r="T67" s="62"/>
      <c r="V67" s="62"/>
      <c r="X67" s="62"/>
      <c r="Z67" s="62"/>
      <c r="AB67" s="62"/>
    </row>
    <row r="68" spans="1:28">
      <c r="B68" t="s">
        <v>216</v>
      </c>
      <c r="E68" t="s">
        <v>45</v>
      </c>
      <c r="F68" s="63"/>
      <c r="H68" s="63" t="str">
        <f>IF(F68="","",F68)</f>
        <v/>
      </c>
      <c r="J68" s="63"/>
      <c r="L68" s="63" t="str">
        <f>IF(J68="","",J68)</f>
        <v/>
      </c>
      <c r="N68" s="63"/>
      <c r="P68" s="63" t="str">
        <f>IF(N68="","",N68)</f>
        <v/>
      </c>
      <c r="R68" s="63"/>
      <c r="T68" s="63" t="str">
        <f>IF(R68="","",R68)</f>
        <v/>
      </c>
      <c r="V68" s="63"/>
      <c r="X68" s="63" t="str">
        <f>IF(V68="","",V68)</f>
        <v/>
      </c>
      <c r="Z68" s="63"/>
      <c r="AB68" s="63" t="str">
        <f>IF(Z68="","",Z68)</f>
        <v/>
      </c>
    </row>
    <row r="69" spans="1:28">
      <c r="B69" t="s">
        <v>191</v>
      </c>
    </row>
    <row r="70" spans="1:28">
      <c r="B70" t="s">
        <v>3</v>
      </c>
    </row>
    <row r="71" spans="1:28">
      <c r="B71" t="s">
        <v>192</v>
      </c>
    </row>
    <row r="72" spans="1:28">
      <c r="B72" t="s">
        <v>193</v>
      </c>
      <c r="C72" s="505"/>
    </row>
    <row r="74" spans="1:28">
      <c r="A74">
        <f>+A66+1</f>
        <v>10</v>
      </c>
      <c r="B74" t="s">
        <v>0</v>
      </c>
      <c r="E74" t="s">
        <v>197</v>
      </c>
      <c r="F74" s="62"/>
      <c r="H74" s="62" t="str">
        <f>IF(F74="","",F74)</f>
        <v/>
      </c>
      <c r="J74" s="62"/>
      <c r="L74" s="62" t="str">
        <f>IF(J74="","",J74)</f>
        <v/>
      </c>
      <c r="N74" s="62"/>
      <c r="P74" s="62" t="str">
        <f>IF(N74="","",N74)</f>
        <v/>
      </c>
      <c r="R74" s="62"/>
      <c r="T74" s="62" t="str">
        <f>IF(R74="","",R74)</f>
        <v/>
      </c>
      <c r="V74" s="62"/>
      <c r="X74" s="62" t="str">
        <f>IF(V74="","",V74)</f>
        <v/>
      </c>
      <c r="Z74" s="62"/>
      <c r="AB74" s="62" t="str">
        <f>IF(Z74="","",Z74)</f>
        <v/>
      </c>
    </row>
    <row r="75" spans="1:28">
      <c r="B75" t="s">
        <v>1</v>
      </c>
      <c r="E75" t="s">
        <v>198</v>
      </c>
      <c r="F75" s="62"/>
      <c r="H75" s="62"/>
      <c r="J75" s="62"/>
      <c r="L75" s="62"/>
      <c r="N75" s="62"/>
      <c r="P75" s="62"/>
      <c r="R75" s="62"/>
      <c r="T75" s="62"/>
      <c r="V75" s="62"/>
      <c r="X75" s="62"/>
      <c r="Z75" s="62"/>
      <c r="AB75" s="62"/>
    </row>
    <row r="76" spans="1:28">
      <c r="B76" t="s">
        <v>216</v>
      </c>
      <c r="E76" t="s">
        <v>45</v>
      </c>
      <c r="F76" s="63"/>
      <c r="H76" s="63" t="str">
        <f>IF(F76="","",F76)</f>
        <v/>
      </c>
      <c r="J76" s="63"/>
      <c r="L76" s="63" t="str">
        <f>IF(J76="","",J76)</f>
        <v/>
      </c>
      <c r="N76" s="63"/>
      <c r="P76" s="63" t="str">
        <f>IF(N76="","",N76)</f>
        <v/>
      </c>
      <c r="R76" s="63"/>
      <c r="T76" s="63" t="str">
        <f>IF(R76="","",R76)</f>
        <v/>
      </c>
      <c r="V76" s="63"/>
      <c r="X76" s="63" t="str">
        <f>IF(V76="","",V76)</f>
        <v/>
      </c>
      <c r="Z76" s="63"/>
      <c r="AB76" s="63" t="str">
        <f>IF(Z76="","",Z76)</f>
        <v/>
      </c>
    </row>
    <row r="77" spans="1:28">
      <c r="B77" t="s">
        <v>191</v>
      </c>
    </row>
    <row r="78" spans="1:28">
      <c r="B78" t="s">
        <v>3</v>
      </c>
    </row>
    <row r="79" spans="1:28">
      <c r="B79" t="s">
        <v>192</v>
      </c>
    </row>
    <row r="80" spans="1:28">
      <c r="B80" t="s">
        <v>193</v>
      </c>
      <c r="C80" s="505"/>
    </row>
  </sheetData>
  <mergeCells count="7">
    <mergeCell ref="F1:H1"/>
    <mergeCell ref="J1:L1"/>
    <mergeCell ref="A1:C1"/>
    <mergeCell ref="Z1:AB1"/>
    <mergeCell ref="N1:P1"/>
    <mergeCell ref="R1:T1"/>
    <mergeCell ref="V1:X1"/>
  </mergeCells>
  <dataValidations count="1">
    <dataValidation allowBlank="1" showInputMessage="1" showErrorMessage="1" promptTitle="Floorplans:" prompt="Feel free to change and rename floor plans." sqref="F1:H1" xr:uid="{00000000-0002-0000-0B00-000000000000}"/>
  </dataValidations>
  <pageMargins left="0.7" right="0.7" top="0.75" bottom="0.75" header="0.3" footer="0.3"/>
  <pageSetup orientation="portrait" r:id="rId1"/>
  <headerFooter>
    <oddFooter>&amp;C&amp;"Copperplate Gothic Light,Bold"&amp;16&amp;K04-049Chavis Capital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AG100"/>
  <sheetViews>
    <sheetView showGridLines="0" topLeftCell="B1" zoomScaleNormal="100" workbookViewId="0">
      <selection activeCell="C34" sqref="C34"/>
    </sheetView>
  </sheetViews>
  <sheetFormatPr defaultRowHeight="12.75" outlineLevelRow="2"/>
  <cols>
    <col min="1" max="1" width="0" hidden="1" customWidth="1"/>
    <col min="3" max="8" width="15.6640625" customWidth="1"/>
  </cols>
  <sheetData>
    <row r="1" spans="1:8" ht="30">
      <c r="A1" s="577" t="str">
        <f ca="1">MID(CELL("filename",A1),FIND("]",CELL("filename",A1))+1,255)</f>
        <v>Rent Comps - Sorted</v>
      </c>
      <c r="B1" s="577"/>
      <c r="C1" s="577"/>
      <c r="D1" s="577"/>
      <c r="E1" s="577"/>
      <c r="F1" s="577"/>
      <c r="G1" s="577"/>
      <c r="H1" s="577"/>
    </row>
    <row r="3" spans="1:8" ht="17.649999999999999">
      <c r="B3" s="579" t="str">
        <f>+J89</f>
        <v>Studio</v>
      </c>
      <c r="C3" s="579"/>
      <c r="D3" s="579"/>
      <c r="E3" s="579"/>
      <c r="F3" s="579"/>
      <c r="G3" s="579"/>
      <c r="H3" s="579"/>
    </row>
    <row r="4" spans="1:8">
      <c r="B4" s="14"/>
      <c r="C4" s="14">
        <v>7</v>
      </c>
      <c r="D4" s="14">
        <f>+C4+1</f>
        <v>8</v>
      </c>
      <c r="E4" s="14">
        <f t="shared" ref="E4:G4" si="0">+D4+1</f>
        <v>9</v>
      </c>
      <c r="F4" s="14">
        <f t="shared" si="0"/>
        <v>10</v>
      </c>
      <c r="G4" s="14">
        <f t="shared" si="0"/>
        <v>11</v>
      </c>
    </row>
    <row r="5" spans="1:8" ht="13.15">
      <c r="B5" s="44" t="s">
        <v>213</v>
      </c>
      <c r="C5" s="44" t="s">
        <v>60</v>
      </c>
      <c r="D5" s="578" t="s">
        <v>97</v>
      </c>
      <c r="E5" s="578"/>
      <c r="F5" s="578" t="s">
        <v>212</v>
      </c>
      <c r="G5" s="578"/>
      <c r="H5" s="44" t="s">
        <v>214</v>
      </c>
    </row>
    <row r="6" spans="1:8" ht="13.15">
      <c r="B6" s="60">
        <f>+$B$90</f>
        <v>1</v>
      </c>
      <c r="C6" s="66" t="str">
        <f ca="1">+IFERROR(VLOOKUP($B6,$C$90:$I$99,C$4,0),"")</f>
        <v/>
      </c>
      <c r="D6" s="67" t="str">
        <f t="shared" ref="D6:G15" ca="1" si="1">+IFERROR(VLOOKUP($B6,$C$90:$AG$99,D$4,0),"")</f>
        <v/>
      </c>
      <c r="E6" s="67" t="str">
        <f t="shared" ca="1" si="1"/>
        <v/>
      </c>
      <c r="F6" s="68" t="str">
        <f t="shared" ca="1" si="1"/>
        <v/>
      </c>
      <c r="G6" s="68" t="str">
        <f t="shared" ca="1" si="1"/>
        <v/>
      </c>
      <c r="H6" s="66"/>
    </row>
    <row r="7" spans="1:8" ht="13.15">
      <c r="B7" s="60">
        <f>+B6+1</f>
        <v>2</v>
      </c>
      <c r="C7" s="66" t="str">
        <f t="shared" ref="C7:C8" ca="1" si="2">+IFERROR(VLOOKUP($B7,$C$90:$I$99,C$4,0),"")</f>
        <v/>
      </c>
      <c r="D7" s="67" t="str">
        <f t="shared" ca="1" si="1"/>
        <v/>
      </c>
      <c r="E7" s="67" t="str">
        <f t="shared" ca="1" si="1"/>
        <v/>
      </c>
      <c r="F7" s="68" t="str">
        <f t="shared" ca="1" si="1"/>
        <v/>
      </c>
      <c r="G7" s="68" t="str">
        <f t="shared" ca="1" si="1"/>
        <v/>
      </c>
      <c r="H7" s="66"/>
    </row>
    <row r="8" spans="1:8" ht="13.15">
      <c r="B8" s="60">
        <f>+B7+1</f>
        <v>3</v>
      </c>
      <c r="C8" s="66" t="str">
        <f t="shared" ca="1" si="2"/>
        <v/>
      </c>
      <c r="D8" s="67" t="str">
        <f t="shared" ca="1" si="1"/>
        <v/>
      </c>
      <c r="E8" s="67" t="str">
        <f t="shared" ca="1" si="1"/>
        <v/>
      </c>
      <c r="F8" s="68" t="str">
        <f t="shared" ca="1" si="1"/>
        <v/>
      </c>
      <c r="G8" s="68" t="str">
        <f t="shared" ca="1" si="1"/>
        <v/>
      </c>
      <c r="H8" s="66"/>
    </row>
    <row r="9" spans="1:8" ht="13.15">
      <c r="B9" s="60">
        <f t="shared" ref="B9:B15" si="3">+B8+1</f>
        <v>4</v>
      </c>
      <c r="C9" s="66" t="str">
        <f t="shared" ref="C9:C15" ca="1" si="4">+IFERROR(VLOOKUP($B9,$C$90:$I$99,C$4,0),"")</f>
        <v/>
      </c>
      <c r="D9" s="67" t="str">
        <f t="shared" ca="1" si="1"/>
        <v/>
      </c>
      <c r="E9" s="67" t="str">
        <f t="shared" ca="1" si="1"/>
        <v/>
      </c>
      <c r="F9" s="68" t="str">
        <f t="shared" ca="1" si="1"/>
        <v/>
      </c>
      <c r="G9" s="68" t="str">
        <f t="shared" ca="1" si="1"/>
        <v/>
      </c>
      <c r="H9" s="66"/>
    </row>
    <row r="10" spans="1:8" ht="13.15">
      <c r="B10" s="60">
        <f t="shared" si="3"/>
        <v>5</v>
      </c>
      <c r="C10" s="66" t="str">
        <f t="shared" ca="1" si="4"/>
        <v/>
      </c>
      <c r="D10" s="67" t="str">
        <f t="shared" ca="1" si="1"/>
        <v/>
      </c>
      <c r="E10" s="67" t="str">
        <f t="shared" ca="1" si="1"/>
        <v/>
      </c>
      <c r="F10" s="68" t="str">
        <f t="shared" ca="1" si="1"/>
        <v/>
      </c>
      <c r="G10" s="68" t="str">
        <f t="shared" ca="1" si="1"/>
        <v/>
      </c>
      <c r="H10" s="66"/>
    </row>
    <row r="11" spans="1:8" ht="13.15">
      <c r="B11" s="60">
        <f t="shared" si="3"/>
        <v>6</v>
      </c>
      <c r="C11" s="66" t="str">
        <f t="shared" ca="1" si="4"/>
        <v/>
      </c>
      <c r="D11" s="67" t="str">
        <f t="shared" ca="1" si="1"/>
        <v/>
      </c>
      <c r="E11" s="67" t="str">
        <f t="shared" ca="1" si="1"/>
        <v/>
      </c>
      <c r="F11" s="68" t="str">
        <f t="shared" ca="1" si="1"/>
        <v/>
      </c>
      <c r="G11" s="68" t="str">
        <f t="shared" ca="1" si="1"/>
        <v/>
      </c>
      <c r="H11" s="66"/>
    </row>
    <row r="12" spans="1:8" ht="13.15">
      <c r="B12" s="60">
        <f t="shared" si="3"/>
        <v>7</v>
      </c>
      <c r="C12" s="66" t="str">
        <f t="shared" ca="1" si="4"/>
        <v/>
      </c>
      <c r="D12" s="67" t="str">
        <f t="shared" ca="1" si="1"/>
        <v/>
      </c>
      <c r="E12" s="67" t="str">
        <f t="shared" ca="1" si="1"/>
        <v/>
      </c>
      <c r="F12" s="68" t="str">
        <f t="shared" ca="1" si="1"/>
        <v/>
      </c>
      <c r="G12" s="68" t="str">
        <f t="shared" ca="1" si="1"/>
        <v/>
      </c>
      <c r="H12" s="66"/>
    </row>
    <row r="13" spans="1:8" ht="13.15">
      <c r="B13" s="60">
        <f t="shared" si="3"/>
        <v>8</v>
      </c>
      <c r="C13" s="66" t="str">
        <f t="shared" ca="1" si="4"/>
        <v/>
      </c>
      <c r="D13" s="67" t="str">
        <f t="shared" ca="1" si="1"/>
        <v/>
      </c>
      <c r="E13" s="67" t="str">
        <f t="shared" ca="1" si="1"/>
        <v/>
      </c>
      <c r="F13" s="68" t="str">
        <f t="shared" ca="1" si="1"/>
        <v/>
      </c>
      <c r="G13" s="68" t="str">
        <f t="shared" ca="1" si="1"/>
        <v/>
      </c>
      <c r="H13" s="66"/>
    </row>
    <row r="14" spans="1:8" ht="13.15">
      <c r="B14" s="60">
        <f t="shared" si="3"/>
        <v>9</v>
      </c>
      <c r="C14" s="66" t="str">
        <f t="shared" ca="1" si="4"/>
        <v/>
      </c>
      <c r="D14" s="67" t="str">
        <f t="shared" ca="1" si="1"/>
        <v/>
      </c>
      <c r="E14" s="67" t="str">
        <f t="shared" ca="1" si="1"/>
        <v/>
      </c>
      <c r="F14" s="68" t="str">
        <f t="shared" ca="1" si="1"/>
        <v/>
      </c>
      <c r="G14" s="68" t="str">
        <f t="shared" ca="1" si="1"/>
        <v/>
      </c>
      <c r="H14" s="66"/>
    </row>
    <row r="15" spans="1:8" ht="13.15">
      <c r="B15" s="60">
        <f t="shared" si="3"/>
        <v>10</v>
      </c>
      <c r="C15" s="66" t="str">
        <f t="shared" ca="1" si="4"/>
        <v/>
      </c>
      <c r="D15" s="67" t="str">
        <f t="shared" ca="1" si="1"/>
        <v/>
      </c>
      <c r="E15" s="67" t="str">
        <f t="shared" ca="1" si="1"/>
        <v/>
      </c>
      <c r="F15" s="68" t="str">
        <f t="shared" ca="1" si="1"/>
        <v/>
      </c>
      <c r="G15" s="68" t="str">
        <f t="shared" ca="1" si="1"/>
        <v/>
      </c>
      <c r="H15" s="66"/>
    </row>
    <row r="16" spans="1:8" ht="13.15">
      <c r="B16" s="60"/>
    </row>
    <row r="17" spans="2:8" ht="17.649999999999999">
      <c r="B17" s="579" t="str">
        <f>+N89</f>
        <v>1x1</v>
      </c>
      <c r="C17" s="579"/>
      <c r="D17" s="579"/>
      <c r="E17" s="579"/>
      <c r="F17" s="579"/>
      <c r="G17" s="579"/>
      <c r="H17" s="579"/>
    </row>
    <row r="18" spans="2:8">
      <c r="B18" s="14"/>
      <c r="C18" s="14">
        <f>+C4-1</f>
        <v>6</v>
      </c>
      <c r="D18" s="14">
        <f>+G4</f>
        <v>11</v>
      </c>
      <c r="E18" s="14">
        <f t="shared" ref="E18:G18" si="5">+D18+1</f>
        <v>12</v>
      </c>
      <c r="F18" s="14">
        <f t="shared" si="5"/>
        <v>13</v>
      </c>
      <c r="G18" s="14">
        <f t="shared" si="5"/>
        <v>14</v>
      </c>
    </row>
    <row r="19" spans="2:8" ht="13.15">
      <c r="B19" s="44" t="s">
        <v>213</v>
      </c>
      <c r="C19" s="44" t="s">
        <v>60</v>
      </c>
      <c r="D19" s="578" t="s">
        <v>97</v>
      </c>
      <c r="E19" s="578"/>
      <c r="F19" s="578" t="s">
        <v>212</v>
      </c>
      <c r="G19" s="578"/>
      <c r="H19" s="44" t="s">
        <v>214</v>
      </c>
    </row>
    <row r="20" spans="2:8" ht="13.15">
      <c r="B20" s="60">
        <f>+$B$90</f>
        <v>1</v>
      </c>
      <c r="C20" s="66" t="str">
        <f ca="1">+IFERROR(VLOOKUP($B20,$D$90:$I$99,C$18,0),"")</f>
        <v xml:space="preserve"> - (Subject)</v>
      </c>
      <c r="D20" s="67">
        <f ca="1">+IFERROR(VLOOKUP($B20,$D$90:$AG$99,D$18,0),"")</f>
        <v>800</v>
      </c>
      <c r="E20" s="67">
        <f t="shared" ref="E20:G29" ca="1" si="6">+IFERROR(VLOOKUP($B20,$D$90:$AG$99,E$18,0),"")</f>
        <v>900</v>
      </c>
      <c r="F20" s="68">
        <f t="shared" ca="1" si="6"/>
        <v>700</v>
      </c>
      <c r="G20" s="68">
        <f t="shared" ca="1" si="6"/>
        <v>700</v>
      </c>
      <c r="H20" s="66"/>
    </row>
    <row r="21" spans="2:8" ht="13.15">
      <c r="B21" s="60">
        <f>+B20+1</f>
        <v>2</v>
      </c>
      <c r="C21" s="66" t="str">
        <f ca="1">+IFERROR(VLOOKUP($B21,$D$90:$I$99,C$18,0),"")</f>
        <v/>
      </c>
      <c r="D21" s="67" t="str">
        <f t="shared" ref="D21:D29" ca="1" si="7">+IFERROR(VLOOKUP($B21,$D$90:$AG$99,D$18,0),"")</f>
        <v/>
      </c>
      <c r="E21" s="67" t="str">
        <f t="shared" ca="1" si="6"/>
        <v/>
      </c>
      <c r="F21" s="68" t="str">
        <f t="shared" ca="1" si="6"/>
        <v/>
      </c>
      <c r="G21" s="68" t="str">
        <f t="shared" ca="1" si="6"/>
        <v/>
      </c>
      <c r="H21" s="66"/>
    </row>
    <row r="22" spans="2:8" ht="13.15">
      <c r="B22" s="60">
        <f>+B21+1</f>
        <v>3</v>
      </c>
      <c r="C22" s="66" t="str">
        <f t="shared" ref="C22:C29" ca="1" si="8">+IFERROR(VLOOKUP($B22,$D$90:$I$99,C$18,0),"")</f>
        <v/>
      </c>
      <c r="D22" s="67" t="str">
        <f t="shared" ca="1" si="7"/>
        <v/>
      </c>
      <c r="E22" s="67" t="str">
        <f t="shared" ca="1" si="6"/>
        <v/>
      </c>
      <c r="F22" s="68" t="str">
        <f t="shared" ca="1" si="6"/>
        <v/>
      </c>
      <c r="G22" s="68" t="str">
        <f t="shared" ca="1" si="6"/>
        <v/>
      </c>
      <c r="H22" s="66"/>
    </row>
    <row r="23" spans="2:8" ht="13.15">
      <c r="B23" s="60">
        <f t="shared" ref="B23:B29" si="9">+B22+1</f>
        <v>4</v>
      </c>
      <c r="C23" s="66" t="str">
        <f t="shared" ca="1" si="8"/>
        <v/>
      </c>
      <c r="D23" s="67" t="str">
        <f t="shared" ca="1" si="7"/>
        <v/>
      </c>
      <c r="E23" s="67" t="str">
        <f t="shared" ca="1" si="6"/>
        <v/>
      </c>
      <c r="F23" s="68" t="str">
        <f t="shared" ca="1" si="6"/>
        <v/>
      </c>
      <c r="G23" s="68" t="str">
        <f t="shared" ca="1" si="6"/>
        <v/>
      </c>
      <c r="H23" s="66"/>
    </row>
    <row r="24" spans="2:8" ht="13.15">
      <c r="B24" s="60">
        <f t="shared" si="9"/>
        <v>5</v>
      </c>
      <c r="C24" s="66" t="str">
        <f t="shared" ca="1" si="8"/>
        <v/>
      </c>
      <c r="D24" s="67" t="str">
        <f t="shared" ca="1" si="7"/>
        <v/>
      </c>
      <c r="E24" s="67" t="str">
        <f t="shared" ca="1" si="6"/>
        <v/>
      </c>
      <c r="F24" s="68" t="str">
        <f t="shared" ca="1" si="6"/>
        <v/>
      </c>
      <c r="G24" s="68" t="str">
        <f t="shared" ca="1" si="6"/>
        <v/>
      </c>
      <c r="H24" s="66"/>
    </row>
    <row r="25" spans="2:8" ht="13.15">
      <c r="B25" s="60">
        <f t="shared" si="9"/>
        <v>6</v>
      </c>
      <c r="C25" s="66" t="str">
        <f t="shared" ca="1" si="8"/>
        <v/>
      </c>
      <c r="D25" s="67" t="str">
        <f t="shared" ca="1" si="7"/>
        <v/>
      </c>
      <c r="E25" s="67" t="str">
        <f t="shared" ca="1" si="6"/>
        <v/>
      </c>
      <c r="F25" s="68" t="str">
        <f t="shared" ca="1" si="6"/>
        <v/>
      </c>
      <c r="G25" s="68" t="str">
        <f t="shared" ca="1" si="6"/>
        <v/>
      </c>
      <c r="H25" s="66"/>
    </row>
    <row r="26" spans="2:8" ht="13.15">
      <c r="B26" s="60">
        <f t="shared" si="9"/>
        <v>7</v>
      </c>
      <c r="C26" s="66" t="str">
        <f t="shared" ca="1" si="8"/>
        <v/>
      </c>
      <c r="D26" s="67" t="str">
        <f t="shared" ca="1" si="7"/>
        <v/>
      </c>
      <c r="E26" s="67" t="str">
        <f t="shared" ca="1" si="6"/>
        <v/>
      </c>
      <c r="F26" s="68" t="str">
        <f t="shared" ca="1" si="6"/>
        <v/>
      </c>
      <c r="G26" s="68" t="str">
        <f t="shared" ca="1" si="6"/>
        <v/>
      </c>
      <c r="H26" s="66"/>
    </row>
    <row r="27" spans="2:8" ht="13.15">
      <c r="B27" s="60">
        <f t="shared" si="9"/>
        <v>8</v>
      </c>
      <c r="C27" s="66" t="str">
        <f t="shared" ca="1" si="8"/>
        <v/>
      </c>
      <c r="D27" s="67" t="str">
        <f t="shared" ca="1" si="7"/>
        <v/>
      </c>
      <c r="E27" s="67" t="str">
        <f t="shared" ca="1" si="6"/>
        <v/>
      </c>
      <c r="F27" s="68" t="str">
        <f t="shared" ca="1" si="6"/>
        <v/>
      </c>
      <c r="G27" s="68" t="str">
        <f t="shared" ca="1" si="6"/>
        <v/>
      </c>
      <c r="H27" s="66"/>
    </row>
    <row r="28" spans="2:8" ht="13.15">
      <c r="B28" s="60">
        <f t="shared" si="9"/>
        <v>9</v>
      </c>
      <c r="C28" s="66" t="str">
        <f t="shared" ca="1" si="8"/>
        <v/>
      </c>
      <c r="D28" s="67" t="str">
        <f t="shared" ca="1" si="7"/>
        <v/>
      </c>
      <c r="E28" s="67" t="str">
        <f t="shared" ca="1" si="6"/>
        <v/>
      </c>
      <c r="F28" s="68" t="str">
        <f t="shared" ca="1" si="6"/>
        <v/>
      </c>
      <c r="G28" s="68" t="str">
        <f t="shared" ca="1" si="6"/>
        <v/>
      </c>
      <c r="H28" s="66"/>
    </row>
    <row r="29" spans="2:8" ht="13.15">
      <c r="B29" s="60">
        <f t="shared" si="9"/>
        <v>10</v>
      </c>
      <c r="C29" s="66" t="str">
        <f t="shared" ca="1" si="8"/>
        <v/>
      </c>
      <c r="D29" s="67" t="str">
        <f t="shared" ca="1" si="7"/>
        <v/>
      </c>
      <c r="E29" s="67" t="str">
        <f t="shared" ca="1" si="6"/>
        <v/>
      </c>
      <c r="F29" s="68" t="str">
        <f t="shared" ca="1" si="6"/>
        <v/>
      </c>
      <c r="G29" s="68" t="str">
        <f t="shared" ca="1" si="6"/>
        <v/>
      </c>
      <c r="H29" s="66"/>
    </row>
    <row r="30" spans="2:8" ht="13.15">
      <c r="B30" s="60"/>
    </row>
    <row r="31" spans="2:8" ht="17.649999999999999">
      <c r="B31" s="579" t="str">
        <f>+R89</f>
        <v>2x1</v>
      </c>
      <c r="C31" s="579"/>
      <c r="D31" s="579"/>
      <c r="E31" s="579"/>
      <c r="F31" s="579"/>
      <c r="G31" s="579"/>
      <c r="H31" s="579"/>
    </row>
    <row r="32" spans="2:8">
      <c r="B32" s="14"/>
      <c r="C32" s="14">
        <f>+C18-1</f>
        <v>5</v>
      </c>
      <c r="D32" s="14">
        <f>+G18</f>
        <v>14</v>
      </c>
      <c r="E32" s="14">
        <f t="shared" ref="E32:G32" si="10">+D32+1</f>
        <v>15</v>
      </c>
      <c r="F32" s="14">
        <f t="shared" si="10"/>
        <v>16</v>
      </c>
      <c r="G32" s="14">
        <f t="shared" si="10"/>
        <v>17</v>
      </c>
    </row>
    <row r="33" spans="2:8" ht="13.15">
      <c r="B33" s="44" t="s">
        <v>213</v>
      </c>
      <c r="C33" s="44" t="s">
        <v>60</v>
      </c>
      <c r="D33" s="578" t="s">
        <v>97</v>
      </c>
      <c r="E33" s="578"/>
      <c r="F33" s="578" t="s">
        <v>212</v>
      </c>
      <c r="G33" s="578"/>
      <c r="H33" s="44" t="s">
        <v>214</v>
      </c>
    </row>
    <row r="34" spans="2:8" ht="13.15">
      <c r="B34" s="60">
        <f>+$B$90</f>
        <v>1</v>
      </c>
      <c r="C34" s="66" t="str">
        <f t="shared" ref="C34:C43" ca="1" si="11">+IFERROR(VLOOKUP($B34,$E$90:$I$99,C$32,0),"")</f>
        <v xml:space="preserve"> - (Subject)</v>
      </c>
      <c r="D34" s="67">
        <f ca="1">+IFERROR(VLOOKUP($B34,$E$90:$AG$99,D$32,0),"")</f>
        <v>1000</v>
      </c>
      <c r="E34" s="67">
        <f t="shared" ref="E34:G43" ca="1" si="12">+IFERROR(VLOOKUP($B34,$E$90:$AG$99,E$32,0),"")</f>
        <v>1200</v>
      </c>
      <c r="F34" s="68">
        <f t="shared" ca="1" si="12"/>
        <v>1000</v>
      </c>
      <c r="G34" s="68">
        <f t="shared" ca="1" si="12"/>
        <v>1000</v>
      </c>
      <c r="H34" s="66"/>
    </row>
    <row r="35" spans="2:8" ht="13.15">
      <c r="B35" s="60">
        <f>+B34+1</f>
        <v>2</v>
      </c>
      <c r="C35" s="66" t="str">
        <f t="shared" ca="1" si="11"/>
        <v/>
      </c>
      <c r="D35" s="67" t="str">
        <f t="shared" ref="D35:D43" ca="1" si="13">+IFERROR(VLOOKUP($B35,$E$90:$AG$99,D$32,0),"")</f>
        <v/>
      </c>
      <c r="E35" s="67" t="str">
        <f t="shared" ca="1" si="12"/>
        <v/>
      </c>
      <c r="F35" s="68" t="str">
        <f t="shared" ca="1" si="12"/>
        <v/>
      </c>
      <c r="G35" s="68" t="str">
        <f t="shared" ca="1" si="12"/>
        <v/>
      </c>
      <c r="H35" s="66"/>
    </row>
    <row r="36" spans="2:8" ht="13.15">
      <c r="B36" s="60">
        <f>+B35+1</f>
        <v>3</v>
      </c>
      <c r="C36" s="66" t="str">
        <f t="shared" ca="1" si="11"/>
        <v/>
      </c>
      <c r="D36" s="67" t="str">
        <f t="shared" ca="1" si="13"/>
        <v/>
      </c>
      <c r="E36" s="67" t="str">
        <f t="shared" ca="1" si="12"/>
        <v/>
      </c>
      <c r="F36" s="68" t="str">
        <f t="shared" ca="1" si="12"/>
        <v/>
      </c>
      <c r="G36" s="68" t="str">
        <f t="shared" ca="1" si="12"/>
        <v/>
      </c>
      <c r="H36" s="66"/>
    </row>
    <row r="37" spans="2:8" ht="13.15">
      <c r="B37" s="60">
        <f t="shared" ref="B37:B43" si="14">+B36+1</f>
        <v>4</v>
      </c>
      <c r="C37" s="66" t="str">
        <f t="shared" ca="1" si="11"/>
        <v/>
      </c>
      <c r="D37" s="67" t="str">
        <f t="shared" ca="1" si="13"/>
        <v/>
      </c>
      <c r="E37" s="67" t="str">
        <f t="shared" ca="1" si="12"/>
        <v/>
      </c>
      <c r="F37" s="68" t="str">
        <f t="shared" ca="1" si="12"/>
        <v/>
      </c>
      <c r="G37" s="68" t="str">
        <f t="shared" ca="1" si="12"/>
        <v/>
      </c>
      <c r="H37" s="66"/>
    </row>
    <row r="38" spans="2:8" ht="13.15">
      <c r="B38" s="60">
        <f t="shared" si="14"/>
        <v>5</v>
      </c>
      <c r="C38" s="66" t="str">
        <f t="shared" ca="1" si="11"/>
        <v/>
      </c>
      <c r="D38" s="67" t="str">
        <f t="shared" ca="1" si="13"/>
        <v/>
      </c>
      <c r="E38" s="67" t="str">
        <f t="shared" ca="1" si="12"/>
        <v/>
      </c>
      <c r="F38" s="68" t="str">
        <f t="shared" ca="1" si="12"/>
        <v/>
      </c>
      <c r="G38" s="68" t="str">
        <f t="shared" ca="1" si="12"/>
        <v/>
      </c>
      <c r="H38" s="66"/>
    </row>
    <row r="39" spans="2:8" ht="13.15">
      <c r="B39" s="60">
        <f t="shared" si="14"/>
        <v>6</v>
      </c>
      <c r="C39" s="66" t="str">
        <f t="shared" ca="1" si="11"/>
        <v/>
      </c>
      <c r="D39" s="67" t="str">
        <f t="shared" ca="1" si="13"/>
        <v/>
      </c>
      <c r="E39" s="67" t="str">
        <f t="shared" ca="1" si="12"/>
        <v/>
      </c>
      <c r="F39" s="68" t="str">
        <f t="shared" ca="1" si="12"/>
        <v/>
      </c>
      <c r="G39" s="68" t="str">
        <f t="shared" ca="1" si="12"/>
        <v/>
      </c>
      <c r="H39" s="66"/>
    </row>
    <row r="40" spans="2:8" ht="13.15">
      <c r="B40" s="60">
        <f t="shared" si="14"/>
        <v>7</v>
      </c>
      <c r="C40" s="66" t="str">
        <f t="shared" ca="1" si="11"/>
        <v/>
      </c>
      <c r="D40" s="67" t="str">
        <f t="shared" ca="1" si="13"/>
        <v/>
      </c>
      <c r="E40" s="67" t="str">
        <f t="shared" ca="1" si="12"/>
        <v/>
      </c>
      <c r="F40" s="68" t="str">
        <f t="shared" ca="1" si="12"/>
        <v/>
      </c>
      <c r="G40" s="68" t="str">
        <f t="shared" ca="1" si="12"/>
        <v/>
      </c>
      <c r="H40" s="66"/>
    </row>
    <row r="41" spans="2:8" ht="13.15">
      <c r="B41" s="60">
        <f t="shared" si="14"/>
        <v>8</v>
      </c>
      <c r="C41" s="66" t="str">
        <f t="shared" ca="1" si="11"/>
        <v/>
      </c>
      <c r="D41" s="67" t="str">
        <f t="shared" ca="1" si="13"/>
        <v/>
      </c>
      <c r="E41" s="67" t="str">
        <f t="shared" ca="1" si="12"/>
        <v/>
      </c>
      <c r="F41" s="68" t="str">
        <f t="shared" ca="1" si="12"/>
        <v/>
      </c>
      <c r="G41" s="68" t="str">
        <f t="shared" ca="1" si="12"/>
        <v/>
      </c>
      <c r="H41" s="66"/>
    </row>
    <row r="42" spans="2:8" ht="13.15">
      <c r="B42" s="60">
        <f t="shared" si="14"/>
        <v>9</v>
      </c>
      <c r="C42" s="66" t="str">
        <f t="shared" ca="1" si="11"/>
        <v/>
      </c>
      <c r="D42" s="67" t="str">
        <f t="shared" ca="1" si="13"/>
        <v/>
      </c>
      <c r="E42" s="67" t="str">
        <f t="shared" ca="1" si="12"/>
        <v/>
      </c>
      <c r="F42" s="68" t="str">
        <f t="shared" ca="1" si="12"/>
        <v/>
      </c>
      <c r="G42" s="68" t="str">
        <f t="shared" ca="1" si="12"/>
        <v/>
      </c>
      <c r="H42" s="66"/>
    </row>
    <row r="43" spans="2:8" ht="13.15">
      <c r="B43" s="60">
        <f t="shared" si="14"/>
        <v>10</v>
      </c>
      <c r="C43" s="66" t="str">
        <f t="shared" ca="1" si="11"/>
        <v/>
      </c>
      <c r="D43" s="67" t="str">
        <f t="shared" ca="1" si="13"/>
        <v/>
      </c>
      <c r="E43" s="67" t="str">
        <f t="shared" ca="1" si="12"/>
        <v/>
      </c>
      <c r="F43" s="68" t="str">
        <f t="shared" ca="1" si="12"/>
        <v/>
      </c>
      <c r="G43" s="68" t="str">
        <f ca="1">+IFERROR(VLOOKUP($B43,$E$90:$AG$99,G$32,0),"")</f>
        <v/>
      </c>
      <c r="H43" s="66"/>
    </row>
    <row r="44" spans="2:8" ht="13.15">
      <c r="B44" s="60"/>
    </row>
    <row r="45" spans="2:8" ht="17.649999999999999">
      <c r="B45" s="579" t="str">
        <f>+V89</f>
        <v>2x2</v>
      </c>
      <c r="C45" s="579"/>
      <c r="D45" s="579"/>
      <c r="E45" s="579"/>
      <c r="F45" s="579"/>
      <c r="G45" s="579"/>
      <c r="H45" s="579"/>
    </row>
    <row r="46" spans="2:8">
      <c r="B46" s="14"/>
      <c r="C46" s="14">
        <f>+C32-1</f>
        <v>4</v>
      </c>
      <c r="D46" s="14">
        <f>+G32</f>
        <v>17</v>
      </c>
      <c r="E46" s="14">
        <f t="shared" ref="E46:G46" si="15">+D46+1</f>
        <v>18</v>
      </c>
      <c r="F46" s="14">
        <f t="shared" si="15"/>
        <v>19</v>
      </c>
      <c r="G46" s="14">
        <f t="shared" si="15"/>
        <v>20</v>
      </c>
    </row>
    <row r="47" spans="2:8" ht="13.15">
      <c r="B47" s="44" t="s">
        <v>213</v>
      </c>
      <c r="C47" s="44" t="s">
        <v>60</v>
      </c>
      <c r="D47" s="578" t="s">
        <v>97</v>
      </c>
      <c r="E47" s="578"/>
      <c r="F47" s="578" t="s">
        <v>212</v>
      </c>
      <c r="G47" s="578"/>
      <c r="H47" s="44" t="s">
        <v>214</v>
      </c>
    </row>
    <row r="48" spans="2:8" ht="13.15">
      <c r="B48" s="60">
        <f>+$B$90</f>
        <v>1</v>
      </c>
      <c r="C48" s="66" t="str">
        <f t="shared" ref="C48:C57" ca="1" si="16">+IFERROR(VLOOKUP($B48,$F$90:$I$99,C$46,0),"")</f>
        <v xml:space="preserve"> - (Subject)</v>
      </c>
      <c r="D48" s="67">
        <f ca="1">+IFERROR(VLOOKUP($B48,$F$90:$AG$99,D$46,0),"")</f>
        <v>1000</v>
      </c>
      <c r="E48" s="67">
        <f t="shared" ref="E48:G57" ca="1" si="17">+IFERROR(VLOOKUP($B48,$F$90:$AG$99,E$46,0),"")</f>
        <v>1200</v>
      </c>
      <c r="F48" s="68">
        <f t="shared" ca="1" si="17"/>
        <v>1000</v>
      </c>
      <c r="G48" s="68">
        <f t="shared" ca="1" si="17"/>
        <v>1000</v>
      </c>
      <c r="H48" s="66"/>
    </row>
    <row r="49" spans="2:8" ht="13.15">
      <c r="B49" s="60">
        <f>+B48+1</f>
        <v>2</v>
      </c>
      <c r="C49" s="66" t="str">
        <f t="shared" ca="1" si="16"/>
        <v/>
      </c>
      <c r="D49" s="67" t="str">
        <f t="shared" ref="D49:D57" ca="1" si="18">+IFERROR(VLOOKUP($B49,$F$90:$AG$99,D$46,0),"")</f>
        <v/>
      </c>
      <c r="E49" s="67" t="str">
        <f t="shared" ca="1" si="17"/>
        <v/>
      </c>
      <c r="F49" s="68" t="str">
        <f t="shared" ca="1" si="17"/>
        <v/>
      </c>
      <c r="G49" s="68" t="str">
        <f t="shared" ca="1" si="17"/>
        <v/>
      </c>
      <c r="H49" s="66"/>
    </row>
    <row r="50" spans="2:8" ht="13.15">
      <c r="B50" s="60">
        <f>+B49+1</f>
        <v>3</v>
      </c>
      <c r="C50" s="66" t="str">
        <f t="shared" ca="1" si="16"/>
        <v/>
      </c>
      <c r="D50" s="67" t="str">
        <f t="shared" ca="1" si="18"/>
        <v/>
      </c>
      <c r="E50" s="67" t="str">
        <f t="shared" ca="1" si="17"/>
        <v/>
      </c>
      <c r="F50" s="68" t="str">
        <f t="shared" ca="1" si="17"/>
        <v/>
      </c>
      <c r="G50" s="68" t="str">
        <f t="shared" ca="1" si="17"/>
        <v/>
      </c>
      <c r="H50" s="66"/>
    </row>
    <row r="51" spans="2:8" ht="13.15">
      <c r="B51" s="60">
        <f t="shared" ref="B51:B57" si="19">+B50+1</f>
        <v>4</v>
      </c>
      <c r="C51" s="66" t="str">
        <f t="shared" ca="1" si="16"/>
        <v/>
      </c>
      <c r="D51" s="67" t="str">
        <f t="shared" ca="1" si="18"/>
        <v/>
      </c>
      <c r="E51" s="67" t="str">
        <f t="shared" ca="1" si="17"/>
        <v/>
      </c>
      <c r="F51" s="68" t="str">
        <f t="shared" ca="1" si="17"/>
        <v/>
      </c>
      <c r="G51" s="68" t="str">
        <f t="shared" ca="1" si="17"/>
        <v/>
      </c>
      <c r="H51" s="66"/>
    </row>
    <row r="52" spans="2:8" ht="13.15">
      <c r="B52" s="60">
        <f t="shared" si="19"/>
        <v>5</v>
      </c>
      <c r="C52" s="66" t="str">
        <f t="shared" ca="1" si="16"/>
        <v/>
      </c>
      <c r="D52" s="67" t="str">
        <f t="shared" ca="1" si="18"/>
        <v/>
      </c>
      <c r="E52" s="67" t="str">
        <f t="shared" ca="1" si="17"/>
        <v/>
      </c>
      <c r="F52" s="68" t="str">
        <f t="shared" ca="1" si="17"/>
        <v/>
      </c>
      <c r="G52" s="68" t="str">
        <f t="shared" ca="1" si="17"/>
        <v/>
      </c>
      <c r="H52" s="66"/>
    </row>
    <row r="53" spans="2:8" ht="13.15">
      <c r="B53" s="60">
        <f t="shared" si="19"/>
        <v>6</v>
      </c>
      <c r="C53" s="66" t="str">
        <f t="shared" ca="1" si="16"/>
        <v/>
      </c>
      <c r="D53" s="67" t="str">
        <f t="shared" ca="1" si="18"/>
        <v/>
      </c>
      <c r="E53" s="67" t="str">
        <f t="shared" ca="1" si="17"/>
        <v/>
      </c>
      <c r="F53" s="68" t="str">
        <f t="shared" ca="1" si="17"/>
        <v/>
      </c>
      <c r="G53" s="68" t="str">
        <f t="shared" ca="1" si="17"/>
        <v/>
      </c>
      <c r="H53" s="66"/>
    </row>
    <row r="54" spans="2:8" ht="13.15">
      <c r="B54" s="60">
        <f t="shared" si="19"/>
        <v>7</v>
      </c>
      <c r="C54" s="66" t="str">
        <f t="shared" ca="1" si="16"/>
        <v/>
      </c>
      <c r="D54" s="67" t="str">
        <f t="shared" ca="1" si="18"/>
        <v/>
      </c>
      <c r="E54" s="67" t="str">
        <f t="shared" ca="1" si="17"/>
        <v/>
      </c>
      <c r="F54" s="68" t="str">
        <f t="shared" ca="1" si="17"/>
        <v/>
      </c>
      <c r="G54" s="68" t="str">
        <f t="shared" ca="1" si="17"/>
        <v/>
      </c>
      <c r="H54" s="66"/>
    </row>
    <row r="55" spans="2:8" ht="13.15">
      <c r="B55" s="60">
        <f t="shared" si="19"/>
        <v>8</v>
      </c>
      <c r="C55" s="66" t="str">
        <f t="shared" ca="1" si="16"/>
        <v/>
      </c>
      <c r="D55" s="67" t="str">
        <f t="shared" ca="1" si="18"/>
        <v/>
      </c>
      <c r="E55" s="67" t="str">
        <f t="shared" ca="1" si="17"/>
        <v/>
      </c>
      <c r="F55" s="68" t="str">
        <f t="shared" ca="1" si="17"/>
        <v/>
      </c>
      <c r="G55" s="68" t="str">
        <f t="shared" ca="1" si="17"/>
        <v/>
      </c>
      <c r="H55" s="66"/>
    </row>
    <row r="56" spans="2:8" ht="13.15">
      <c r="B56" s="60">
        <f t="shared" si="19"/>
        <v>9</v>
      </c>
      <c r="C56" s="66" t="str">
        <f t="shared" ca="1" si="16"/>
        <v/>
      </c>
      <c r="D56" s="67" t="str">
        <f t="shared" ca="1" si="18"/>
        <v/>
      </c>
      <c r="E56" s="67" t="str">
        <f t="shared" ca="1" si="17"/>
        <v/>
      </c>
      <c r="F56" s="68" t="str">
        <f t="shared" ca="1" si="17"/>
        <v/>
      </c>
      <c r="G56" s="68" t="str">
        <f t="shared" ca="1" si="17"/>
        <v/>
      </c>
      <c r="H56" s="66"/>
    </row>
    <row r="57" spans="2:8" ht="13.15">
      <c r="B57" s="60">
        <f t="shared" si="19"/>
        <v>10</v>
      </c>
      <c r="C57" s="66" t="str">
        <f t="shared" ca="1" si="16"/>
        <v/>
      </c>
      <c r="D57" s="67" t="str">
        <f t="shared" ca="1" si="18"/>
        <v/>
      </c>
      <c r="E57" s="67" t="str">
        <f t="shared" ca="1" si="17"/>
        <v/>
      </c>
      <c r="F57" s="68" t="str">
        <f t="shared" ca="1" si="17"/>
        <v/>
      </c>
      <c r="G57" s="68" t="str">
        <f t="shared" ca="1" si="17"/>
        <v/>
      </c>
      <c r="H57" s="66"/>
    </row>
    <row r="58" spans="2:8" ht="13.15">
      <c r="B58" s="60"/>
    </row>
    <row r="59" spans="2:8" ht="17.649999999999999">
      <c r="B59" s="579" t="str">
        <f>+Z89</f>
        <v>3x1</v>
      </c>
      <c r="C59" s="579"/>
      <c r="D59" s="579"/>
      <c r="E59" s="579"/>
      <c r="F59" s="579"/>
      <c r="G59" s="579"/>
      <c r="H59" s="579"/>
    </row>
    <row r="60" spans="2:8">
      <c r="B60" s="14"/>
      <c r="C60" s="14">
        <f>+C46-1</f>
        <v>3</v>
      </c>
      <c r="D60" s="14">
        <f>+G46</f>
        <v>20</v>
      </c>
      <c r="E60" s="14">
        <f t="shared" ref="E60:G60" si="20">+D60+1</f>
        <v>21</v>
      </c>
      <c r="F60" s="14">
        <f t="shared" si="20"/>
        <v>22</v>
      </c>
      <c r="G60" s="14">
        <f t="shared" si="20"/>
        <v>23</v>
      </c>
    </row>
    <row r="61" spans="2:8" ht="13.15">
      <c r="B61" s="44" t="s">
        <v>213</v>
      </c>
      <c r="C61" s="44" t="s">
        <v>60</v>
      </c>
      <c r="D61" s="578" t="s">
        <v>97</v>
      </c>
      <c r="E61" s="578"/>
      <c r="F61" s="578" t="s">
        <v>212</v>
      </c>
      <c r="G61" s="578"/>
      <c r="H61" s="44" t="s">
        <v>214</v>
      </c>
    </row>
    <row r="62" spans="2:8" ht="13.15">
      <c r="B62" s="60">
        <f>+$B$90</f>
        <v>1</v>
      </c>
      <c r="C62" s="66" t="str">
        <f ca="1">+IFERROR(VLOOKUP($B62,$G$90:$I$99,C$60,0),"")</f>
        <v xml:space="preserve"> - (Subject)</v>
      </c>
      <c r="D62" s="67">
        <f ca="1">+IFERROR(VLOOKUP($B62,$G$90:$AG$99,D$60,0),"")</f>
        <v>1000</v>
      </c>
      <c r="E62" s="67">
        <f t="shared" ref="E62:G71" ca="1" si="21">+IFERROR(VLOOKUP($B62,$G$90:$AG$99,E$60,0),"")</f>
        <v>1200</v>
      </c>
      <c r="F62" s="68">
        <f t="shared" ca="1" si="21"/>
        <v>1000</v>
      </c>
      <c r="G62" s="68">
        <f t="shared" ca="1" si="21"/>
        <v>1000</v>
      </c>
      <c r="H62" s="66"/>
    </row>
    <row r="63" spans="2:8" ht="13.15">
      <c r="B63" s="60">
        <f>+B62+1</f>
        <v>2</v>
      </c>
      <c r="C63" s="66" t="str">
        <f ca="1">+IFERROR(VLOOKUP($B63,$G$90:$I$99,C$60,0),"")</f>
        <v/>
      </c>
      <c r="D63" s="67" t="str">
        <f t="shared" ref="D63:D71" ca="1" si="22">+IFERROR(VLOOKUP($B63,$G$90:$AG$99,D$60,0),"")</f>
        <v/>
      </c>
      <c r="E63" s="67" t="str">
        <f t="shared" ca="1" si="21"/>
        <v/>
      </c>
      <c r="F63" s="68" t="str">
        <f t="shared" ca="1" si="21"/>
        <v/>
      </c>
      <c r="G63" s="68" t="str">
        <f t="shared" ca="1" si="21"/>
        <v/>
      </c>
      <c r="H63" s="66"/>
    </row>
    <row r="64" spans="2:8" ht="13.15">
      <c r="B64" s="60">
        <f>+B63+1</f>
        <v>3</v>
      </c>
      <c r="C64" s="66" t="str">
        <f t="shared" ref="C64:C71" ca="1" si="23">+IFERROR(VLOOKUP($B64,$G$90:$I$99,C$60,0),"")</f>
        <v/>
      </c>
      <c r="D64" s="67" t="str">
        <f t="shared" ca="1" si="22"/>
        <v/>
      </c>
      <c r="E64" s="67" t="str">
        <f t="shared" ca="1" si="21"/>
        <v/>
      </c>
      <c r="F64" s="68" t="str">
        <f t="shared" ca="1" si="21"/>
        <v/>
      </c>
      <c r="G64" s="68" t="str">
        <f t="shared" ca="1" si="21"/>
        <v/>
      </c>
      <c r="H64" s="66"/>
    </row>
    <row r="65" spans="2:8" ht="13.15">
      <c r="B65" s="60">
        <f t="shared" ref="B65:B71" si="24">+B64+1</f>
        <v>4</v>
      </c>
      <c r="C65" s="66" t="str">
        <f t="shared" ca="1" si="23"/>
        <v/>
      </c>
      <c r="D65" s="67" t="str">
        <f t="shared" ca="1" si="22"/>
        <v/>
      </c>
      <c r="E65" s="67" t="str">
        <f t="shared" ca="1" si="21"/>
        <v/>
      </c>
      <c r="F65" s="68" t="str">
        <f t="shared" ca="1" si="21"/>
        <v/>
      </c>
      <c r="G65" s="68" t="str">
        <f t="shared" ca="1" si="21"/>
        <v/>
      </c>
      <c r="H65" s="66"/>
    </row>
    <row r="66" spans="2:8" ht="13.15">
      <c r="B66" s="60">
        <f t="shared" si="24"/>
        <v>5</v>
      </c>
      <c r="C66" s="66" t="str">
        <f t="shared" ca="1" si="23"/>
        <v/>
      </c>
      <c r="D66" s="67" t="str">
        <f t="shared" ca="1" si="22"/>
        <v/>
      </c>
      <c r="E66" s="67" t="str">
        <f t="shared" ca="1" si="21"/>
        <v/>
      </c>
      <c r="F66" s="68" t="str">
        <f t="shared" ca="1" si="21"/>
        <v/>
      </c>
      <c r="G66" s="68" t="str">
        <f t="shared" ca="1" si="21"/>
        <v/>
      </c>
      <c r="H66" s="66"/>
    </row>
    <row r="67" spans="2:8" ht="13.15">
      <c r="B67" s="60">
        <f t="shared" si="24"/>
        <v>6</v>
      </c>
      <c r="C67" s="66" t="str">
        <f t="shared" ca="1" si="23"/>
        <v/>
      </c>
      <c r="D67" s="67" t="str">
        <f t="shared" ca="1" si="22"/>
        <v/>
      </c>
      <c r="E67" s="67" t="str">
        <f t="shared" ca="1" si="21"/>
        <v/>
      </c>
      <c r="F67" s="68" t="str">
        <f t="shared" ca="1" si="21"/>
        <v/>
      </c>
      <c r="G67" s="68" t="str">
        <f t="shared" ca="1" si="21"/>
        <v/>
      </c>
      <c r="H67" s="66"/>
    </row>
    <row r="68" spans="2:8" ht="13.15">
      <c r="B68" s="60">
        <f t="shared" si="24"/>
        <v>7</v>
      </c>
      <c r="C68" s="66" t="str">
        <f t="shared" ca="1" si="23"/>
        <v/>
      </c>
      <c r="D68" s="67" t="str">
        <f t="shared" ca="1" si="22"/>
        <v/>
      </c>
      <c r="E68" s="67" t="str">
        <f t="shared" ca="1" si="21"/>
        <v/>
      </c>
      <c r="F68" s="68" t="str">
        <f t="shared" ca="1" si="21"/>
        <v/>
      </c>
      <c r="G68" s="68" t="str">
        <f t="shared" ca="1" si="21"/>
        <v/>
      </c>
      <c r="H68" s="66"/>
    </row>
    <row r="69" spans="2:8" ht="13.15">
      <c r="B69" s="60">
        <f t="shared" si="24"/>
        <v>8</v>
      </c>
      <c r="C69" s="66" t="str">
        <f t="shared" ca="1" si="23"/>
        <v/>
      </c>
      <c r="D69" s="67" t="str">
        <f t="shared" ca="1" si="22"/>
        <v/>
      </c>
      <c r="E69" s="67" t="str">
        <f t="shared" ca="1" si="21"/>
        <v/>
      </c>
      <c r="F69" s="68" t="str">
        <f t="shared" ca="1" si="21"/>
        <v/>
      </c>
      <c r="G69" s="68" t="str">
        <f t="shared" ca="1" si="21"/>
        <v/>
      </c>
      <c r="H69" s="66"/>
    </row>
    <row r="70" spans="2:8" ht="13.15">
      <c r="B70" s="60">
        <f t="shared" si="24"/>
        <v>9</v>
      </c>
      <c r="C70" s="66" t="str">
        <f t="shared" ca="1" si="23"/>
        <v/>
      </c>
      <c r="D70" s="67" t="str">
        <f t="shared" ca="1" si="22"/>
        <v/>
      </c>
      <c r="E70" s="67" t="str">
        <f t="shared" ca="1" si="21"/>
        <v/>
      </c>
      <c r="F70" s="68" t="str">
        <f t="shared" ca="1" si="21"/>
        <v/>
      </c>
      <c r="G70" s="68" t="str">
        <f t="shared" ca="1" si="21"/>
        <v/>
      </c>
      <c r="H70" s="66"/>
    </row>
    <row r="71" spans="2:8" ht="13.15">
      <c r="B71" s="60">
        <f t="shared" si="24"/>
        <v>10</v>
      </c>
      <c r="C71" s="66" t="str">
        <f t="shared" ca="1" si="23"/>
        <v/>
      </c>
      <c r="D71" s="67" t="str">
        <f t="shared" ca="1" si="22"/>
        <v/>
      </c>
      <c r="E71" s="67" t="str">
        <f t="shared" ca="1" si="21"/>
        <v/>
      </c>
      <c r="F71" s="68" t="str">
        <f t="shared" ca="1" si="21"/>
        <v/>
      </c>
      <c r="G71" s="68" t="str">
        <f t="shared" ca="1" si="21"/>
        <v/>
      </c>
      <c r="H71" s="66"/>
    </row>
    <row r="72" spans="2:8" ht="13.15">
      <c r="B72" s="60"/>
    </row>
    <row r="73" spans="2:8" ht="17.649999999999999">
      <c r="B73" s="579" t="str">
        <f>+AD89</f>
        <v>3x2</v>
      </c>
      <c r="C73" s="579"/>
      <c r="D73" s="579"/>
      <c r="E73" s="579"/>
      <c r="F73" s="579"/>
      <c r="G73" s="579"/>
      <c r="H73" s="579"/>
    </row>
    <row r="74" spans="2:8">
      <c r="B74" s="14"/>
      <c r="C74" s="14">
        <f>+C60-1</f>
        <v>2</v>
      </c>
      <c r="D74" s="14">
        <f>+G60</f>
        <v>23</v>
      </c>
      <c r="E74" s="14">
        <f t="shared" ref="E74:G74" si="25">+D74+1</f>
        <v>24</v>
      </c>
      <c r="F74" s="14">
        <f t="shared" si="25"/>
        <v>25</v>
      </c>
      <c r="G74" s="14">
        <f t="shared" si="25"/>
        <v>26</v>
      </c>
    </row>
    <row r="75" spans="2:8" ht="13.15">
      <c r="B75" s="44" t="s">
        <v>213</v>
      </c>
      <c r="C75" s="44" t="s">
        <v>60</v>
      </c>
      <c r="D75" s="578" t="s">
        <v>97</v>
      </c>
      <c r="E75" s="578"/>
      <c r="F75" s="578" t="s">
        <v>212</v>
      </c>
      <c r="G75" s="578"/>
      <c r="H75" s="44" t="s">
        <v>214</v>
      </c>
    </row>
    <row r="76" spans="2:8" ht="13.15">
      <c r="B76" s="60">
        <f>+$B$90</f>
        <v>1</v>
      </c>
      <c r="C76" s="66" t="str">
        <f ca="1">+IFERROR(VLOOKUP($B76,$H$90:$I$99,C$74,0),"")</f>
        <v xml:space="preserve"> - (Subject)</v>
      </c>
      <c r="D76" s="67">
        <f ca="1">+IFERROR(VLOOKUP($B76,$H$90:$AG$99,D$74,0),"")</f>
        <v>1000</v>
      </c>
      <c r="E76" s="67">
        <f t="shared" ref="E76:G85" ca="1" si="26">+IFERROR(VLOOKUP($B76,$H$90:$AG$99,E$74,0),"")</f>
        <v>1200</v>
      </c>
      <c r="F76" s="68">
        <f t="shared" ca="1" si="26"/>
        <v>1000</v>
      </c>
      <c r="G76" s="68">
        <f t="shared" ca="1" si="26"/>
        <v>1000</v>
      </c>
      <c r="H76" s="66"/>
    </row>
    <row r="77" spans="2:8" ht="13.15">
      <c r="B77" s="60">
        <f>+B76+1</f>
        <v>2</v>
      </c>
      <c r="C77" s="66" t="str">
        <f ca="1">+IFERROR(VLOOKUP($B77,$H$90:$I$99,C$74,0),"")</f>
        <v/>
      </c>
      <c r="D77" s="67" t="str">
        <f t="shared" ref="D77:D85" ca="1" si="27">+IFERROR(VLOOKUP($B77,$H$90:$AG$99,D$74,0),"")</f>
        <v/>
      </c>
      <c r="E77" s="67" t="str">
        <f t="shared" ca="1" si="26"/>
        <v/>
      </c>
      <c r="F77" s="68" t="str">
        <f t="shared" ca="1" si="26"/>
        <v/>
      </c>
      <c r="G77" s="68" t="str">
        <f t="shared" ca="1" si="26"/>
        <v/>
      </c>
      <c r="H77" s="66"/>
    </row>
    <row r="78" spans="2:8" ht="13.15">
      <c r="B78" s="60">
        <f>+B77+1</f>
        <v>3</v>
      </c>
      <c r="C78" s="66" t="str">
        <f t="shared" ref="C78:C85" ca="1" si="28">+IFERROR(VLOOKUP($B78,$H$90:$I$99,C$74,0),"")</f>
        <v/>
      </c>
      <c r="D78" s="67" t="str">
        <f t="shared" ca="1" si="27"/>
        <v/>
      </c>
      <c r="E78" s="67" t="str">
        <f t="shared" ca="1" si="26"/>
        <v/>
      </c>
      <c r="F78" s="68" t="str">
        <f t="shared" ca="1" si="26"/>
        <v/>
      </c>
      <c r="G78" s="68" t="str">
        <f t="shared" ca="1" si="26"/>
        <v/>
      </c>
      <c r="H78" s="66"/>
    </row>
    <row r="79" spans="2:8" ht="13.15">
      <c r="B79" s="60">
        <f t="shared" ref="B79:B85" si="29">+B78+1</f>
        <v>4</v>
      </c>
      <c r="C79" s="66" t="str">
        <f t="shared" ca="1" si="28"/>
        <v/>
      </c>
      <c r="D79" s="67" t="str">
        <f t="shared" ca="1" si="27"/>
        <v/>
      </c>
      <c r="E79" s="67" t="str">
        <f t="shared" ca="1" si="26"/>
        <v/>
      </c>
      <c r="F79" s="68" t="str">
        <f t="shared" ca="1" si="26"/>
        <v/>
      </c>
      <c r="G79" s="68" t="str">
        <f t="shared" ca="1" si="26"/>
        <v/>
      </c>
      <c r="H79" s="66"/>
    </row>
    <row r="80" spans="2:8" ht="13.15">
      <c r="B80" s="60">
        <f t="shared" si="29"/>
        <v>5</v>
      </c>
      <c r="C80" s="66" t="str">
        <f t="shared" ca="1" si="28"/>
        <v/>
      </c>
      <c r="D80" s="67" t="str">
        <f t="shared" ca="1" si="27"/>
        <v/>
      </c>
      <c r="E80" s="67" t="str">
        <f t="shared" ca="1" si="26"/>
        <v/>
      </c>
      <c r="F80" s="68" t="str">
        <f t="shared" ca="1" si="26"/>
        <v/>
      </c>
      <c r="G80" s="68" t="str">
        <f t="shared" ca="1" si="26"/>
        <v/>
      </c>
      <c r="H80" s="66"/>
    </row>
    <row r="81" spans="1:33" ht="13.15">
      <c r="B81" s="60">
        <f t="shared" si="29"/>
        <v>6</v>
      </c>
      <c r="C81" s="66" t="str">
        <f t="shared" ca="1" si="28"/>
        <v/>
      </c>
      <c r="D81" s="67" t="str">
        <f t="shared" ca="1" si="27"/>
        <v/>
      </c>
      <c r="E81" s="67" t="str">
        <f t="shared" ca="1" si="26"/>
        <v/>
      </c>
      <c r="F81" s="68" t="str">
        <f t="shared" ca="1" si="26"/>
        <v/>
      </c>
      <c r="G81" s="68" t="str">
        <f t="shared" ca="1" si="26"/>
        <v/>
      </c>
      <c r="H81" s="66"/>
    </row>
    <row r="82" spans="1:33" ht="13.15">
      <c r="B82" s="60">
        <f t="shared" si="29"/>
        <v>7</v>
      </c>
      <c r="C82" s="66" t="str">
        <f t="shared" ca="1" si="28"/>
        <v/>
      </c>
      <c r="D82" s="67" t="str">
        <f t="shared" ca="1" si="27"/>
        <v/>
      </c>
      <c r="E82" s="67" t="str">
        <f t="shared" ca="1" si="26"/>
        <v/>
      </c>
      <c r="F82" s="68" t="str">
        <f t="shared" ca="1" si="26"/>
        <v/>
      </c>
      <c r="G82" s="68" t="str">
        <f t="shared" ca="1" si="26"/>
        <v/>
      </c>
      <c r="H82" s="66"/>
    </row>
    <row r="83" spans="1:33" ht="13.15">
      <c r="B83" s="60">
        <f t="shared" si="29"/>
        <v>8</v>
      </c>
      <c r="C83" s="66" t="str">
        <f t="shared" ca="1" si="28"/>
        <v/>
      </c>
      <c r="D83" s="67" t="str">
        <f t="shared" ca="1" si="27"/>
        <v/>
      </c>
      <c r="E83" s="67" t="str">
        <f t="shared" ca="1" si="26"/>
        <v/>
      </c>
      <c r="F83" s="68" t="str">
        <f t="shared" ca="1" si="26"/>
        <v/>
      </c>
      <c r="G83" s="68" t="str">
        <f t="shared" ca="1" si="26"/>
        <v/>
      </c>
      <c r="H83" s="66"/>
    </row>
    <row r="84" spans="1:33" ht="13.15">
      <c r="B84" s="60">
        <f t="shared" si="29"/>
        <v>9</v>
      </c>
      <c r="C84" s="66" t="str">
        <f t="shared" ca="1" si="28"/>
        <v/>
      </c>
      <c r="D84" s="67" t="str">
        <f t="shared" ca="1" si="27"/>
        <v/>
      </c>
      <c r="E84" s="67" t="str">
        <f t="shared" ca="1" si="26"/>
        <v/>
      </c>
      <c r="F84" s="68" t="str">
        <f t="shared" ca="1" si="26"/>
        <v/>
      </c>
      <c r="G84" s="68" t="str">
        <f t="shared" ca="1" si="26"/>
        <v/>
      </c>
      <c r="H84" s="66"/>
    </row>
    <row r="85" spans="1:33" ht="13.15">
      <c r="B85" s="60">
        <f t="shared" si="29"/>
        <v>10</v>
      </c>
      <c r="C85" s="66" t="str">
        <f t="shared" ca="1" si="28"/>
        <v/>
      </c>
      <c r="D85" s="67" t="str">
        <f t="shared" ca="1" si="27"/>
        <v/>
      </c>
      <c r="E85" s="67" t="str">
        <f t="shared" ca="1" si="26"/>
        <v/>
      </c>
      <c r="F85" s="68" t="str">
        <f t="shared" ca="1" si="26"/>
        <v/>
      </c>
      <c r="G85" s="68" t="str">
        <f t="shared" ca="1" si="26"/>
        <v/>
      </c>
      <c r="H85" s="66"/>
    </row>
    <row r="86" spans="1:33" ht="13.15">
      <c r="B86" s="60"/>
    </row>
    <row r="87" spans="1:33" hidden="1" outlineLevel="1">
      <c r="C87" s="14" t="str">
        <f>+J89</f>
        <v>Studio</v>
      </c>
      <c r="D87" s="14" t="str">
        <f>+N89</f>
        <v>1x1</v>
      </c>
      <c r="E87" s="14" t="str">
        <f>+R89</f>
        <v>2x1</v>
      </c>
      <c r="F87" s="14" t="str">
        <f>+V89</f>
        <v>2x2</v>
      </c>
      <c r="G87" s="14" t="str">
        <f>+Z89</f>
        <v>3x1</v>
      </c>
      <c r="H87" s="14" t="str">
        <f>+AD89</f>
        <v>3x2</v>
      </c>
    </row>
    <row r="88" spans="1:33" ht="12.75" hidden="1" customHeight="1" outlineLevel="2">
      <c r="J88" s="14" t="s">
        <v>199</v>
      </c>
      <c r="K88" s="14" t="s">
        <v>200</v>
      </c>
      <c r="L88" s="14" t="str">
        <f>+J88</f>
        <v>F</v>
      </c>
      <c r="M88" s="14" t="str">
        <f>+K88</f>
        <v>H</v>
      </c>
      <c r="N88" s="14" t="s">
        <v>201</v>
      </c>
      <c r="O88" s="14" t="s">
        <v>207</v>
      </c>
      <c r="P88" s="14" t="str">
        <f>+N88</f>
        <v>J</v>
      </c>
      <c r="Q88" s="14" t="str">
        <f>+O88</f>
        <v>L</v>
      </c>
      <c r="R88" s="14" t="s">
        <v>202</v>
      </c>
      <c r="S88" s="14" t="s">
        <v>208</v>
      </c>
      <c r="T88" s="14" t="str">
        <f>+R88</f>
        <v>N</v>
      </c>
      <c r="U88" s="14" t="str">
        <f>+S88</f>
        <v>P</v>
      </c>
      <c r="V88" s="14" t="s">
        <v>203</v>
      </c>
      <c r="W88" s="14" t="s">
        <v>209</v>
      </c>
      <c r="X88" s="14" t="str">
        <f>+V88</f>
        <v>R</v>
      </c>
      <c r="Y88" s="14" t="str">
        <f>+W88</f>
        <v>T</v>
      </c>
      <c r="Z88" s="14" t="s">
        <v>204</v>
      </c>
      <c r="AA88" s="14" t="s">
        <v>210</v>
      </c>
      <c r="AB88" s="14" t="str">
        <f>+Z88</f>
        <v>V</v>
      </c>
      <c r="AC88" s="14" t="str">
        <f>+AA88</f>
        <v>X</v>
      </c>
      <c r="AD88" s="14" t="s">
        <v>205</v>
      </c>
      <c r="AE88" s="14" t="s">
        <v>206</v>
      </c>
      <c r="AF88" s="14" t="str">
        <f>+AD88</f>
        <v>Z</v>
      </c>
      <c r="AG88" s="14" t="str">
        <f>+AE88</f>
        <v>AB</v>
      </c>
    </row>
    <row r="89" spans="1:33" ht="13.15" hidden="1" outlineLevel="1" collapsed="1">
      <c r="B89" s="44" t="s">
        <v>211</v>
      </c>
      <c r="C89" s="578" t="s">
        <v>213</v>
      </c>
      <c r="D89" s="578"/>
      <c r="E89" s="578"/>
      <c r="F89" s="578"/>
      <c r="G89" s="578"/>
      <c r="H89" s="578"/>
      <c r="I89" s="44" t="s">
        <v>60</v>
      </c>
      <c r="J89" s="578" t="str">
        <f>+'Rent Comps - Input'!F1</f>
        <v>Studio</v>
      </c>
      <c r="K89" s="578"/>
      <c r="L89" s="578"/>
      <c r="M89" s="578"/>
      <c r="N89" s="578" t="str">
        <f>+'Rent Comps - Input'!J1</f>
        <v>1x1</v>
      </c>
      <c r="O89" s="578"/>
      <c r="P89" s="578"/>
      <c r="Q89" s="578"/>
      <c r="R89" s="578" t="str">
        <f>+'Rent Comps - Input'!N1</f>
        <v>2x1</v>
      </c>
      <c r="S89" s="578"/>
      <c r="T89" s="578"/>
      <c r="U89" s="578"/>
      <c r="V89" s="578" t="str">
        <f>+'Rent Comps - Input'!R1</f>
        <v>2x2</v>
      </c>
      <c r="W89" s="578"/>
      <c r="X89" s="578"/>
      <c r="Y89" s="578"/>
      <c r="Z89" s="578" t="str">
        <f>+'Rent Comps - Input'!V1</f>
        <v>3x1</v>
      </c>
      <c r="AA89" s="578"/>
      <c r="AB89" s="578"/>
      <c r="AC89" s="578"/>
      <c r="AD89" s="578" t="str">
        <f>+'Rent Comps - Input'!Z1</f>
        <v>3x2</v>
      </c>
      <c r="AE89" s="578"/>
      <c r="AF89" s="578"/>
      <c r="AG89" s="578"/>
    </row>
    <row r="90" spans="1:33" hidden="1" outlineLevel="1">
      <c r="A90">
        <f>+MATCH($B90,'Rent Comps - Input'!$A$2:$A$80,0)+1</f>
        <v>2</v>
      </c>
      <c r="B90">
        <v>1</v>
      </c>
      <c r="C90" s="17" t="str">
        <f ca="1">+IF(OR(J90="",J90=0),"",RANK(J90,$J$90:$J$99,0))</f>
        <v/>
      </c>
      <c r="D90" s="17">
        <f ca="1">+IF(OR(N90="",N90=0),"",RANK(N90,$N$90:$N$99,0))</f>
        <v>1</v>
      </c>
      <c r="E90" s="17">
        <f ca="1">+IF(OR(R90="",R90=0),"",RANK(R90,$R$90:$R$99,0))</f>
        <v>1</v>
      </c>
      <c r="F90" s="17">
        <f ca="1">+IF(OR(V90="",V90=0),"",RANK(V90,$V$90:$V$99,0))</f>
        <v>1</v>
      </c>
      <c r="G90" s="17">
        <f ca="1">+IF(OR(Z90="",Z90=0),"",RANK(Z90,$Z$90:$Z$99,0))</f>
        <v>1</v>
      </c>
      <c r="H90" s="17">
        <f ca="1">+IF(OR(AD90="",AD90=0),"",RANK(AD90,$AD$90:$AD$99,0))</f>
        <v>1</v>
      </c>
      <c r="I90" s="65" t="str">
        <f ca="1">+VLOOKUP($B90,'Rent Comps - Input'!$A:$C,3,0)</f>
        <v xml:space="preserve"> - (Subject)</v>
      </c>
      <c r="J90" s="27">
        <f t="shared" ref="J90:K99" ca="1" si="30">IF($I90=0,"",INDIRECT("'Rent Comps - Input'!"&amp;J$88&amp;$A90))</f>
        <v>0</v>
      </c>
      <c r="K90" s="27">
        <f t="shared" ca="1" si="30"/>
        <v>0</v>
      </c>
      <c r="L90" s="27">
        <f ca="1">IF($I90=0,"",INDIRECT("'Rent Comps - Input'!"&amp;L$88&amp;$A90+2))</f>
        <v>0</v>
      </c>
      <c r="M90" s="27">
        <f ca="1">IF($I90=0,"",INDIRECT("'Rent Comps - Input'!"&amp;M$88&amp;$A90+2))</f>
        <v>0</v>
      </c>
      <c r="N90" s="27">
        <f t="shared" ref="N90:O99" ca="1" si="31">IF($I90=0,"",INDIRECT("'Rent Comps - Input'!"&amp;N$88&amp;$A90))</f>
        <v>800</v>
      </c>
      <c r="O90" s="27">
        <f t="shared" ca="1" si="31"/>
        <v>900</v>
      </c>
      <c r="P90" s="27">
        <f ca="1">IF($I90=0,"",INDIRECT("'Rent Comps - Input'!"&amp;P$88&amp;$A90+2))</f>
        <v>700</v>
      </c>
      <c r="Q90" s="27">
        <f ca="1">IF($I90=0,"",INDIRECT("'Rent Comps - Input'!"&amp;Q$88&amp;$A90+2))</f>
        <v>700</v>
      </c>
      <c r="R90" s="27">
        <f t="shared" ref="R90:S99" ca="1" si="32">IF($I90=0,"",INDIRECT("'Rent Comps - Input'!"&amp;R$88&amp;$A90))</f>
        <v>1000</v>
      </c>
      <c r="S90" s="27">
        <f t="shared" ca="1" si="32"/>
        <v>1200</v>
      </c>
      <c r="T90" s="27">
        <f ca="1">IF($I90=0,"",INDIRECT("'Rent Comps - Input'!"&amp;T$88&amp;$A90+2))</f>
        <v>1000</v>
      </c>
      <c r="U90" s="27">
        <f ca="1">IF($I90=0,"",INDIRECT("'Rent Comps - Input'!"&amp;U$88&amp;$A90+2))</f>
        <v>1000</v>
      </c>
      <c r="V90" s="27">
        <f t="shared" ref="V90:W99" ca="1" si="33">IF($I90=0,"",INDIRECT("'Rent Comps - Input'!"&amp;V$88&amp;$A90))</f>
        <v>1000</v>
      </c>
      <c r="W90" s="27">
        <f t="shared" ca="1" si="33"/>
        <v>1200</v>
      </c>
      <c r="X90" s="27">
        <f ca="1">IF($I90=0,"",INDIRECT("'Rent Comps - Input'!"&amp;X$88&amp;$A90+2))</f>
        <v>1000</v>
      </c>
      <c r="Y90" s="27">
        <f ca="1">IF($I90=0,"",INDIRECT("'Rent Comps - Input'!"&amp;Y$88&amp;$A90+2))</f>
        <v>1000</v>
      </c>
      <c r="Z90" s="27">
        <f t="shared" ref="Z90:AA99" ca="1" si="34">IF($I90=0,"",INDIRECT("'Rent Comps - Input'!"&amp;Z$88&amp;$A90))</f>
        <v>1000</v>
      </c>
      <c r="AA90" s="27">
        <f t="shared" ca="1" si="34"/>
        <v>1200</v>
      </c>
      <c r="AB90" s="27">
        <f ca="1">IF($I90=0,"",INDIRECT("'Rent Comps - Input'!"&amp;AB$88&amp;$A90+2))</f>
        <v>1000</v>
      </c>
      <c r="AC90" s="27">
        <f ca="1">IF($I90=0,"",INDIRECT("'Rent Comps - Input'!"&amp;AC$88&amp;$A90+2))</f>
        <v>1000</v>
      </c>
      <c r="AD90" s="27">
        <f t="shared" ref="AD90:AE99" ca="1" si="35">IF($I90=0,"",INDIRECT("'Rent Comps - Input'!"&amp;AD$88&amp;$A90))</f>
        <v>1000</v>
      </c>
      <c r="AE90" s="27">
        <f t="shared" ca="1" si="35"/>
        <v>1200</v>
      </c>
      <c r="AF90" s="27">
        <f ca="1">IF($I90=0,"",INDIRECT("'Rent Comps - Input'!"&amp;AF$88&amp;$A90+2))</f>
        <v>1000</v>
      </c>
      <c r="AG90" s="27">
        <f ca="1">IF($I90=0,"",INDIRECT("'Rent Comps - Input'!"&amp;AG$88&amp;$A90+2))</f>
        <v>1000</v>
      </c>
    </row>
    <row r="91" spans="1:33" hidden="1" outlineLevel="1">
      <c r="A91">
        <f>+MATCH($B91,'Rent Comps - Input'!$A$2:$A$80,0)+1</f>
        <v>10</v>
      </c>
      <c r="B91">
        <f>+B90+1</f>
        <v>2</v>
      </c>
      <c r="C91" s="17" t="str">
        <f t="shared" ref="C91:C99" ca="1" si="36">+IF(OR(J91="",J91=0),"",RANK(J91,$J$90:$J$99,0))</f>
        <v/>
      </c>
      <c r="D91" s="17" t="str">
        <f t="shared" ref="D91:D99" ca="1" si="37">+IF(OR(N91="",N91=0),"",RANK(N91,$N$90:$N$99,0))</f>
        <v/>
      </c>
      <c r="E91" s="17" t="str">
        <f t="shared" ref="E91:E99" ca="1" si="38">+IF(OR(R91="",R91=0),"",RANK(R91,$R$90:$R$99,0))</f>
        <v/>
      </c>
      <c r="F91" s="17" t="str">
        <f t="shared" ref="F91:F99" ca="1" si="39">+IF(OR(V91="",V91=0),"",RANK(V91,$V$90:$V$99,0))</f>
        <v/>
      </c>
      <c r="G91" s="17" t="str">
        <f t="shared" ref="G91:G99" ca="1" si="40">+IF(OR(Z91="",Z91=0),"",RANK(Z91,$Z$90:$Z$99,0))</f>
        <v/>
      </c>
      <c r="H91" s="17" t="str">
        <f t="shared" ref="H91:H99" ca="1" si="41">+IF(OR(AD91="",AD91=0),"",RANK(AD91,$AD$90:$AD$99,0))</f>
        <v/>
      </c>
      <c r="I91" s="65">
        <f ca="1">+VLOOKUP($B91,'Rent Comps - Input'!$A:$C,3,0)</f>
        <v>0</v>
      </c>
      <c r="J91" s="27" t="str">
        <f t="shared" ca="1" si="30"/>
        <v/>
      </c>
      <c r="K91" s="27" t="str">
        <f t="shared" ca="1" si="30"/>
        <v/>
      </c>
      <c r="L91" s="27" t="str">
        <f t="shared" ref="L91:Q99" ca="1" si="42">IF($I91=0,"",INDIRECT("'Rent Comps - Input'!"&amp;L$88&amp;$A91+2))</f>
        <v/>
      </c>
      <c r="M91" s="27" t="str">
        <f t="shared" ca="1" si="42"/>
        <v/>
      </c>
      <c r="N91" s="27" t="str">
        <f t="shared" ca="1" si="31"/>
        <v/>
      </c>
      <c r="O91" s="27" t="str">
        <f t="shared" ca="1" si="31"/>
        <v/>
      </c>
      <c r="P91" s="27" t="str">
        <f t="shared" ca="1" si="42"/>
        <v/>
      </c>
      <c r="Q91" s="27" t="str">
        <f t="shared" ca="1" si="42"/>
        <v/>
      </c>
      <c r="R91" s="27" t="str">
        <f t="shared" ca="1" si="32"/>
        <v/>
      </c>
      <c r="S91" s="27" t="str">
        <f t="shared" ca="1" si="32"/>
        <v/>
      </c>
      <c r="T91" s="27" t="str">
        <f t="shared" ref="T91:U99" ca="1" si="43">IF($I91=0,"",INDIRECT("'Rent Comps - Input'!"&amp;T$88&amp;$A91+2))</f>
        <v/>
      </c>
      <c r="U91" s="27" t="str">
        <f t="shared" ca="1" si="43"/>
        <v/>
      </c>
      <c r="V91" s="27" t="str">
        <f t="shared" ca="1" si="33"/>
        <v/>
      </c>
      <c r="W91" s="27" t="str">
        <f t="shared" ca="1" si="33"/>
        <v/>
      </c>
      <c r="X91" s="27" t="str">
        <f t="shared" ref="X91:Y99" ca="1" si="44">IF($I91=0,"",INDIRECT("'Rent Comps - Input'!"&amp;X$88&amp;$A91+2))</f>
        <v/>
      </c>
      <c r="Y91" s="27" t="str">
        <f t="shared" ca="1" si="44"/>
        <v/>
      </c>
      <c r="Z91" s="27" t="str">
        <f t="shared" ca="1" si="34"/>
        <v/>
      </c>
      <c r="AA91" s="27" t="str">
        <f t="shared" ca="1" si="34"/>
        <v/>
      </c>
      <c r="AB91" s="27" t="str">
        <f t="shared" ref="AB91:AC99" ca="1" si="45">IF($I91=0,"",INDIRECT("'Rent Comps - Input'!"&amp;AB$88&amp;$A91+2))</f>
        <v/>
      </c>
      <c r="AC91" s="27" t="str">
        <f t="shared" ca="1" si="45"/>
        <v/>
      </c>
      <c r="AD91" s="27" t="str">
        <f t="shared" ca="1" si="35"/>
        <v/>
      </c>
      <c r="AE91" s="27" t="str">
        <f t="shared" ca="1" si="35"/>
        <v/>
      </c>
      <c r="AF91" s="27" t="str">
        <f t="shared" ref="AF91:AG99" ca="1" si="46">IF($I91=0,"",INDIRECT("'Rent Comps - Input'!"&amp;AF$88&amp;$A91+2))</f>
        <v/>
      </c>
      <c r="AG91" s="27" t="str">
        <f t="shared" ca="1" si="46"/>
        <v/>
      </c>
    </row>
    <row r="92" spans="1:33" hidden="1" outlineLevel="1">
      <c r="A92">
        <f>+MATCH($B92,'Rent Comps - Input'!$A$2:$A$80,0)+1</f>
        <v>18</v>
      </c>
      <c r="B92">
        <f>+B91+1</f>
        <v>3</v>
      </c>
      <c r="C92" s="17" t="str">
        <f t="shared" ca="1" si="36"/>
        <v/>
      </c>
      <c r="D92" s="17" t="str">
        <f t="shared" ca="1" si="37"/>
        <v/>
      </c>
      <c r="E92" s="17" t="str">
        <f t="shared" ca="1" si="38"/>
        <v/>
      </c>
      <c r="F92" s="17" t="str">
        <f t="shared" ca="1" si="39"/>
        <v/>
      </c>
      <c r="G92" s="17" t="str">
        <f t="shared" ca="1" si="40"/>
        <v/>
      </c>
      <c r="H92" s="17" t="str">
        <f t="shared" ca="1" si="41"/>
        <v/>
      </c>
      <c r="I92" s="65">
        <f ca="1">+VLOOKUP($B92,'Rent Comps - Input'!$A:$C,3,0)</f>
        <v>0</v>
      </c>
      <c r="J92" s="27" t="str">
        <f t="shared" ca="1" si="30"/>
        <v/>
      </c>
      <c r="K92" s="27" t="str">
        <f t="shared" ca="1" si="30"/>
        <v/>
      </c>
      <c r="L92" s="27" t="str">
        <f t="shared" ca="1" si="42"/>
        <v/>
      </c>
      <c r="M92" s="27" t="str">
        <f t="shared" ca="1" si="42"/>
        <v/>
      </c>
      <c r="N92" s="27" t="str">
        <f t="shared" ca="1" si="31"/>
        <v/>
      </c>
      <c r="O92" s="27" t="str">
        <f t="shared" ca="1" si="31"/>
        <v/>
      </c>
      <c r="P92" s="27" t="str">
        <f t="shared" ca="1" si="42"/>
        <v/>
      </c>
      <c r="Q92" s="27" t="str">
        <f t="shared" ca="1" si="42"/>
        <v/>
      </c>
      <c r="R92" s="27" t="str">
        <f t="shared" ca="1" si="32"/>
        <v/>
      </c>
      <c r="S92" s="27" t="str">
        <f t="shared" ca="1" si="32"/>
        <v/>
      </c>
      <c r="T92" s="27" t="str">
        <f t="shared" ca="1" si="43"/>
        <v/>
      </c>
      <c r="U92" s="27" t="str">
        <f t="shared" ca="1" si="43"/>
        <v/>
      </c>
      <c r="V92" s="27" t="str">
        <f t="shared" ca="1" si="33"/>
        <v/>
      </c>
      <c r="W92" s="27" t="str">
        <f t="shared" ca="1" si="33"/>
        <v/>
      </c>
      <c r="X92" s="27" t="str">
        <f t="shared" ca="1" si="44"/>
        <v/>
      </c>
      <c r="Y92" s="27" t="str">
        <f t="shared" ca="1" si="44"/>
        <v/>
      </c>
      <c r="Z92" s="27" t="str">
        <f t="shared" ca="1" si="34"/>
        <v/>
      </c>
      <c r="AA92" s="27" t="str">
        <f t="shared" ca="1" si="34"/>
        <v/>
      </c>
      <c r="AB92" s="27" t="str">
        <f t="shared" ca="1" si="45"/>
        <v/>
      </c>
      <c r="AC92" s="27" t="str">
        <f t="shared" ca="1" si="45"/>
        <v/>
      </c>
      <c r="AD92" s="27" t="str">
        <f t="shared" ca="1" si="35"/>
        <v/>
      </c>
      <c r="AE92" s="27" t="str">
        <f t="shared" ca="1" si="35"/>
        <v/>
      </c>
      <c r="AF92" s="27" t="str">
        <f t="shared" ca="1" si="46"/>
        <v/>
      </c>
      <c r="AG92" s="27" t="str">
        <f t="shared" ca="1" si="46"/>
        <v/>
      </c>
    </row>
    <row r="93" spans="1:33" hidden="1" outlineLevel="1">
      <c r="A93">
        <f>+MATCH($B93,'Rent Comps - Input'!$A$2:$A$80,0)+1</f>
        <v>26</v>
      </c>
      <c r="B93">
        <f t="shared" ref="B93:B99" si="47">+B92+1</f>
        <v>4</v>
      </c>
      <c r="C93" s="17" t="str">
        <f t="shared" ca="1" si="36"/>
        <v/>
      </c>
      <c r="D93" s="17" t="str">
        <f t="shared" ca="1" si="37"/>
        <v/>
      </c>
      <c r="E93" s="17" t="str">
        <f t="shared" ca="1" si="38"/>
        <v/>
      </c>
      <c r="F93" s="17" t="str">
        <f t="shared" ca="1" si="39"/>
        <v/>
      </c>
      <c r="G93" s="17" t="str">
        <f t="shared" ca="1" si="40"/>
        <v/>
      </c>
      <c r="H93" s="17" t="str">
        <f t="shared" ca="1" si="41"/>
        <v/>
      </c>
      <c r="I93" s="65">
        <f ca="1">+VLOOKUP($B93,'Rent Comps - Input'!$A:$C,3,0)</f>
        <v>0</v>
      </c>
      <c r="J93" s="27" t="str">
        <f t="shared" ca="1" si="30"/>
        <v/>
      </c>
      <c r="K93" s="27" t="str">
        <f t="shared" ca="1" si="30"/>
        <v/>
      </c>
      <c r="L93" s="27" t="str">
        <f t="shared" ca="1" si="42"/>
        <v/>
      </c>
      <c r="M93" s="27" t="str">
        <f t="shared" ca="1" si="42"/>
        <v/>
      </c>
      <c r="N93" s="27" t="str">
        <f t="shared" ca="1" si="31"/>
        <v/>
      </c>
      <c r="O93" s="27" t="str">
        <f t="shared" ca="1" si="31"/>
        <v/>
      </c>
      <c r="P93" s="27" t="str">
        <f t="shared" ca="1" si="42"/>
        <v/>
      </c>
      <c r="Q93" s="27" t="str">
        <f t="shared" ca="1" si="42"/>
        <v/>
      </c>
      <c r="R93" s="27" t="str">
        <f t="shared" ca="1" si="32"/>
        <v/>
      </c>
      <c r="S93" s="27" t="str">
        <f t="shared" ca="1" si="32"/>
        <v/>
      </c>
      <c r="T93" s="27" t="str">
        <f t="shared" ca="1" si="43"/>
        <v/>
      </c>
      <c r="U93" s="27" t="str">
        <f t="shared" ca="1" si="43"/>
        <v/>
      </c>
      <c r="V93" s="27" t="str">
        <f t="shared" ca="1" si="33"/>
        <v/>
      </c>
      <c r="W93" s="27" t="str">
        <f t="shared" ca="1" si="33"/>
        <v/>
      </c>
      <c r="X93" s="27" t="str">
        <f t="shared" ca="1" si="44"/>
        <v/>
      </c>
      <c r="Y93" s="27" t="str">
        <f t="shared" ca="1" si="44"/>
        <v/>
      </c>
      <c r="Z93" s="27" t="str">
        <f t="shared" ca="1" si="34"/>
        <v/>
      </c>
      <c r="AA93" s="27" t="str">
        <f t="shared" ca="1" si="34"/>
        <v/>
      </c>
      <c r="AB93" s="27" t="str">
        <f t="shared" ca="1" si="45"/>
        <v/>
      </c>
      <c r="AC93" s="27" t="str">
        <f t="shared" ca="1" si="45"/>
        <v/>
      </c>
      <c r="AD93" s="27" t="str">
        <f t="shared" ca="1" si="35"/>
        <v/>
      </c>
      <c r="AE93" s="27" t="str">
        <f t="shared" ca="1" si="35"/>
        <v/>
      </c>
      <c r="AF93" s="27" t="str">
        <f t="shared" ca="1" si="46"/>
        <v/>
      </c>
      <c r="AG93" s="27" t="str">
        <f t="shared" ca="1" si="46"/>
        <v/>
      </c>
    </row>
    <row r="94" spans="1:33" hidden="1" outlineLevel="1">
      <c r="A94">
        <f>+MATCH($B94,'Rent Comps - Input'!$A$2:$A$80,0)+1</f>
        <v>34</v>
      </c>
      <c r="B94">
        <f t="shared" si="47"/>
        <v>5</v>
      </c>
      <c r="C94" s="17" t="str">
        <f t="shared" ca="1" si="36"/>
        <v/>
      </c>
      <c r="D94" s="17" t="str">
        <f t="shared" ca="1" si="37"/>
        <v/>
      </c>
      <c r="E94" s="17" t="str">
        <f t="shared" ca="1" si="38"/>
        <v/>
      </c>
      <c r="F94" s="17" t="str">
        <f t="shared" ca="1" si="39"/>
        <v/>
      </c>
      <c r="G94" s="17" t="str">
        <f t="shared" ca="1" si="40"/>
        <v/>
      </c>
      <c r="H94" s="17" t="str">
        <f t="shared" ca="1" si="41"/>
        <v/>
      </c>
      <c r="I94" s="65">
        <f ca="1">+VLOOKUP($B94,'Rent Comps - Input'!$A:$C,3,0)</f>
        <v>0</v>
      </c>
      <c r="J94" s="27" t="str">
        <f t="shared" ca="1" si="30"/>
        <v/>
      </c>
      <c r="K94" s="27" t="str">
        <f t="shared" ca="1" si="30"/>
        <v/>
      </c>
      <c r="L94" s="27" t="str">
        <f t="shared" ca="1" si="42"/>
        <v/>
      </c>
      <c r="M94" s="27" t="str">
        <f t="shared" ca="1" si="42"/>
        <v/>
      </c>
      <c r="N94" s="27" t="str">
        <f t="shared" ca="1" si="31"/>
        <v/>
      </c>
      <c r="O94" s="27" t="str">
        <f t="shared" ca="1" si="31"/>
        <v/>
      </c>
      <c r="P94" s="27" t="str">
        <f t="shared" ca="1" si="42"/>
        <v/>
      </c>
      <c r="Q94" s="27" t="str">
        <f t="shared" ca="1" si="42"/>
        <v/>
      </c>
      <c r="R94" s="27" t="str">
        <f t="shared" ca="1" si="32"/>
        <v/>
      </c>
      <c r="S94" s="27" t="str">
        <f t="shared" ca="1" si="32"/>
        <v/>
      </c>
      <c r="T94" s="27" t="str">
        <f t="shared" ca="1" si="43"/>
        <v/>
      </c>
      <c r="U94" s="27" t="str">
        <f t="shared" ca="1" si="43"/>
        <v/>
      </c>
      <c r="V94" s="27" t="str">
        <f t="shared" ca="1" si="33"/>
        <v/>
      </c>
      <c r="W94" s="27" t="str">
        <f t="shared" ca="1" si="33"/>
        <v/>
      </c>
      <c r="X94" s="27" t="str">
        <f t="shared" ca="1" si="44"/>
        <v/>
      </c>
      <c r="Y94" s="27" t="str">
        <f t="shared" ca="1" si="44"/>
        <v/>
      </c>
      <c r="Z94" s="27" t="str">
        <f t="shared" ca="1" si="34"/>
        <v/>
      </c>
      <c r="AA94" s="27" t="str">
        <f t="shared" ca="1" si="34"/>
        <v/>
      </c>
      <c r="AB94" s="27" t="str">
        <f t="shared" ca="1" si="45"/>
        <v/>
      </c>
      <c r="AC94" s="27" t="str">
        <f t="shared" ca="1" si="45"/>
        <v/>
      </c>
      <c r="AD94" s="27" t="str">
        <f t="shared" ca="1" si="35"/>
        <v/>
      </c>
      <c r="AE94" s="27" t="str">
        <f t="shared" ca="1" si="35"/>
        <v/>
      </c>
      <c r="AF94" s="27" t="str">
        <f t="shared" ca="1" si="46"/>
        <v/>
      </c>
      <c r="AG94" s="27" t="str">
        <f t="shared" ca="1" si="46"/>
        <v/>
      </c>
    </row>
    <row r="95" spans="1:33" hidden="1" outlineLevel="1">
      <c r="A95">
        <f>+MATCH($B95,'Rent Comps - Input'!$A$2:$A$80,0)+1</f>
        <v>42</v>
      </c>
      <c r="B95">
        <f t="shared" si="47"/>
        <v>6</v>
      </c>
      <c r="C95" s="17" t="str">
        <f t="shared" ca="1" si="36"/>
        <v/>
      </c>
      <c r="D95" s="17" t="str">
        <f t="shared" ca="1" si="37"/>
        <v/>
      </c>
      <c r="E95" s="17" t="str">
        <f t="shared" ca="1" si="38"/>
        <v/>
      </c>
      <c r="F95" s="17" t="str">
        <f t="shared" ca="1" si="39"/>
        <v/>
      </c>
      <c r="G95" s="17" t="str">
        <f t="shared" ca="1" si="40"/>
        <v/>
      </c>
      <c r="H95" s="17" t="str">
        <f t="shared" ca="1" si="41"/>
        <v/>
      </c>
      <c r="I95" s="65">
        <f ca="1">+VLOOKUP($B95,'Rent Comps - Input'!$A:$C,3,0)</f>
        <v>0</v>
      </c>
      <c r="J95" s="27" t="str">
        <f t="shared" ca="1" si="30"/>
        <v/>
      </c>
      <c r="K95" s="27" t="str">
        <f t="shared" ca="1" si="30"/>
        <v/>
      </c>
      <c r="L95" s="27" t="str">
        <f t="shared" ca="1" si="42"/>
        <v/>
      </c>
      <c r="M95" s="27" t="str">
        <f t="shared" ca="1" si="42"/>
        <v/>
      </c>
      <c r="N95" s="27" t="str">
        <f t="shared" ca="1" si="31"/>
        <v/>
      </c>
      <c r="O95" s="27" t="str">
        <f t="shared" ca="1" si="31"/>
        <v/>
      </c>
      <c r="P95" s="27" t="str">
        <f t="shared" ca="1" si="42"/>
        <v/>
      </c>
      <c r="Q95" s="27" t="str">
        <f t="shared" ca="1" si="42"/>
        <v/>
      </c>
      <c r="R95" s="27" t="str">
        <f t="shared" ca="1" si="32"/>
        <v/>
      </c>
      <c r="S95" s="27" t="str">
        <f t="shared" ca="1" si="32"/>
        <v/>
      </c>
      <c r="T95" s="27" t="str">
        <f t="shared" ca="1" si="43"/>
        <v/>
      </c>
      <c r="U95" s="27" t="str">
        <f t="shared" ca="1" si="43"/>
        <v/>
      </c>
      <c r="V95" s="27" t="str">
        <f t="shared" ca="1" si="33"/>
        <v/>
      </c>
      <c r="W95" s="27" t="str">
        <f t="shared" ca="1" si="33"/>
        <v/>
      </c>
      <c r="X95" s="27" t="str">
        <f t="shared" ca="1" si="44"/>
        <v/>
      </c>
      <c r="Y95" s="27" t="str">
        <f t="shared" ca="1" si="44"/>
        <v/>
      </c>
      <c r="Z95" s="27" t="str">
        <f t="shared" ca="1" si="34"/>
        <v/>
      </c>
      <c r="AA95" s="27" t="str">
        <f t="shared" ca="1" si="34"/>
        <v/>
      </c>
      <c r="AB95" s="27" t="str">
        <f t="shared" ca="1" si="45"/>
        <v/>
      </c>
      <c r="AC95" s="27" t="str">
        <f t="shared" ca="1" si="45"/>
        <v/>
      </c>
      <c r="AD95" s="27" t="str">
        <f t="shared" ca="1" si="35"/>
        <v/>
      </c>
      <c r="AE95" s="27" t="str">
        <f t="shared" ca="1" si="35"/>
        <v/>
      </c>
      <c r="AF95" s="27" t="str">
        <f t="shared" ca="1" si="46"/>
        <v/>
      </c>
      <c r="AG95" s="27" t="str">
        <f t="shared" ca="1" si="46"/>
        <v/>
      </c>
    </row>
    <row r="96" spans="1:33" hidden="1" outlineLevel="1">
      <c r="A96">
        <f>+MATCH($B96,'Rent Comps - Input'!$A$2:$A$80,0)+1</f>
        <v>50</v>
      </c>
      <c r="B96">
        <f t="shared" si="47"/>
        <v>7</v>
      </c>
      <c r="C96" s="17" t="str">
        <f t="shared" ca="1" si="36"/>
        <v/>
      </c>
      <c r="D96" s="17" t="str">
        <f t="shared" ca="1" si="37"/>
        <v/>
      </c>
      <c r="E96" s="17" t="str">
        <f t="shared" ca="1" si="38"/>
        <v/>
      </c>
      <c r="F96" s="17" t="str">
        <f t="shared" ca="1" si="39"/>
        <v/>
      </c>
      <c r="G96" s="17" t="str">
        <f t="shared" ca="1" si="40"/>
        <v/>
      </c>
      <c r="H96" s="17" t="str">
        <f t="shared" ca="1" si="41"/>
        <v/>
      </c>
      <c r="I96" s="65">
        <f ca="1">+VLOOKUP($B96,'Rent Comps - Input'!$A:$C,3,0)</f>
        <v>0</v>
      </c>
      <c r="J96" s="27" t="str">
        <f t="shared" ca="1" si="30"/>
        <v/>
      </c>
      <c r="K96" s="27" t="str">
        <f t="shared" ca="1" si="30"/>
        <v/>
      </c>
      <c r="L96" s="27" t="str">
        <f t="shared" ca="1" si="42"/>
        <v/>
      </c>
      <c r="M96" s="27" t="str">
        <f t="shared" ca="1" si="42"/>
        <v/>
      </c>
      <c r="N96" s="27" t="str">
        <f t="shared" ca="1" si="31"/>
        <v/>
      </c>
      <c r="O96" s="27" t="str">
        <f t="shared" ca="1" si="31"/>
        <v/>
      </c>
      <c r="P96" s="27" t="str">
        <f t="shared" ca="1" si="42"/>
        <v/>
      </c>
      <c r="Q96" s="27" t="str">
        <f t="shared" ca="1" si="42"/>
        <v/>
      </c>
      <c r="R96" s="27" t="str">
        <f t="shared" ca="1" si="32"/>
        <v/>
      </c>
      <c r="S96" s="27" t="str">
        <f t="shared" ca="1" si="32"/>
        <v/>
      </c>
      <c r="T96" s="27" t="str">
        <f t="shared" ca="1" si="43"/>
        <v/>
      </c>
      <c r="U96" s="27" t="str">
        <f t="shared" ca="1" si="43"/>
        <v/>
      </c>
      <c r="V96" s="27" t="str">
        <f t="shared" ca="1" si="33"/>
        <v/>
      </c>
      <c r="W96" s="27" t="str">
        <f t="shared" ca="1" si="33"/>
        <v/>
      </c>
      <c r="X96" s="27" t="str">
        <f t="shared" ca="1" si="44"/>
        <v/>
      </c>
      <c r="Y96" s="27" t="str">
        <f t="shared" ca="1" si="44"/>
        <v/>
      </c>
      <c r="Z96" s="27" t="str">
        <f t="shared" ca="1" si="34"/>
        <v/>
      </c>
      <c r="AA96" s="27" t="str">
        <f t="shared" ca="1" si="34"/>
        <v/>
      </c>
      <c r="AB96" s="27" t="str">
        <f t="shared" ca="1" si="45"/>
        <v/>
      </c>
      <c r="AC96" s="27" t="str">
        <f t="shared" ca="1" si="45"/>
        <v/>
      </c>
      <c r="AD96" s="27" t="str">
        <f t="shared" ca="1" si="35"/>
        <v/>
      </c>
      <c r="AE96" s="27" t="str">
        <f t="shared" ca="1" si="35"/>
        <v/>
      </c>
      <c r="AF96" s="27" t="str">
        <f t="shared" ca="1" si="46"/>
        <v/>
      </c>
      <c r="AG96" s="27" t="str">
        <f t="shared" ca="1" si="46"/>
        <v/>
      </c>
    </row>
    <row r="97" spans="1:33" hidden="1" outlineLevel="1">
      <c r="A97">
        <f>+MATCH($B97,'Rent Comps - Input'!$A$2:$A$80,0)+1</f>
        <v>58</v>
      </c>
      <c r="B97">
        <f t="shared" si="47"/>
        <v>8</v>
      </c>
      <c r="C97" s="17" t="str">
        <f t="shared" ca="1" si="36"/>
        <v/>
      </c>
      <c r="D97" s="17" t="str">
        <f t="shared" ca="1" si="37"/>
        <v/>
      </c>
      <c r="E97" s="17" t="str">
        <f t="shared" ca="1" si="38"/>
        <v/>
      </c>
      <c r="F97" s="17" t="str">
        <f t="shared" ca="1" si="39"/>
        <v/>
      </c>
      <c r="G97" s="17" t="str">
        <f t="shared" ca="1" si="40"/>
        <v/>
      </c>
      <c r="H97" s="17" t="str">
        <f t="shared" ca="1" si="41"/>
        <v/>
      </c>
      <c r="I97" s="65">
        <f ca="1">+VLOOKUP($B97,'Rent Comps - Input'!$A:$C,3,0)</f>
        <v>0</v>
      </c>
      <c r="J97" s="27" t="str">
        <f t="shared" ca="1" si="30"/>
        <v/>
      </c>
      <c r="K97" s="27" t="str">
        <f t="shared" ca="1" si="30"/>
        <v/>
      </c>
      <c r="L97" s="27" t="str">
        <f t="shared" ca="1" si="42"/>
        <v/>
      </c>
      <c r="M97" s="27" t="str">
        <f t="shared" ca="1" si="42"/>
        <v/>
      </c>
      <c r="N97" s="27" t="str">
        <f t="shared" ca="1" si="31"/>
        <v/>
      </c>
      <c r="O97" s="27" t="str">
        <f t="shared" ca="1" si="31"/>
        <v/>
      </c>
      <c r="P97" s="27" t="str">
        <f t="shared" ca="1" si="42"/>
        <v/>
      </c>
      <c r="Q97" s="27" t="str">
        <f t="shared" ca="1" si="42"/>
        <v/>
      </c>
      <c r="R97" s="27" t="str">
        <f t="shared" ca="1" si="32"/>
        <v/>
      </c>
      <c r="S97" s="27" t="str">
        <f t="shared" ca="1" si="32"/>
        <v/>
      </c>
      <c r="T97" s="27" t="str">
        <f t="shared" ca="1" si="43"/>
        <v/>
      </c>
      <c r="U97" s="27" t="str">
        <f t="shared" ca="1" si="43"/>
        <v/>
      </c>
      <c r="V97" s="27" t="str">
        <f t="shared" ca="1" si="33"/>
        <v/>
      </c>
      <c r="W97" s="27" t="str">
        <f t="shared" ca="1" si="33"/>
        <v/>
      </c>
      <c r="X97" s="27" t="str">
        <f t="shared" ca="1" si="44"/>
        <v/>
      </c>
      <c r="Y97" s="27" t="str">
        <f t="shared" ca="1" si="44"/>
        <v/>
      </c>
      <c r="Z97" s="27" t="str">
        <f t="shared" ca="1" si="34"/>
        <v/>
      </c>
      <c r="AA97" s="27" t="str">
        <f t="shared" ca="1" si="34"/>
        <v/>
      </c>
      <c r="AB97" s="27" t="str">
        <f t="shared" ca="1" si="45"/>
        <v/>
      </c>
      <c r="AC97" s="27" t="str">
        <f t="shared" ca="1" si="45"/>
        <v/>
      </c>
      <c r="AD97" s="27" t="str">
        <f t="shared" ca="1" si="35"/>
        <v/>
      </c>
      <c r="AE97" s="27" t="str">
        <f t="shared" ca="1" si="35"/>
        <v/>
      </c>
      <c r="AF97" s="27" t="str">
        <f t="shared" ca="1" si="46"/>
        <v/>
      </c>
      <c r="AG97" s="27" t="str">
        <f t="shared" ca="1" si="46"/>
        <v/>
      </c>
    </row>
    <row r="98" spans="1:33" hidden="1" outlineLevel="1">
      <c r="A98">
        <f>+MATCH($B98,'Rent Comps - Input'!$A$2:$A$80,0)+1</f>
        <v>66</v>
      </c>
      <c r="B98">
        <f t="shared" si="47"/>
        <v>9</v>
      </c>
      <c r="C98" s="17" t="str">
        <f t="shared" ca="1" si="36"/>
        <v/>
      </c>
      <c r="D98" s="17" t="str">
        <f t="shared" ca="1" si="37"/>
        <v/>
      </c>
      <c r="E98" s="17" t="str">
        <f t="shared" ca="1" si="38"/>
        <v/>
      </c>
      <c r="F98" s="17" t="str">
        <f t="shared" ca="1" si="39"/>
        <v/>
      </c>
      <c r="G98" s="17" t="str">
        <f t="shared" ca="1" si="40"/>
        <v/>
      </c>
      <c r="H98" s="17" t="str">
        <f t="shared" ca="1" si="41"/>
        <v/>
      </c>
      <c r="I98" s="65">
        <f ca="1">+VLOOKUP($B98,'Rent Comps - Input'!$A:$C,3,0)</f>
        <v>0</v>
      </c>
      <c r="J98" s="27" t="str">
        <f t="shared" ca="1" si="30"/>
        <v/>
      </c>
      <c r="K98" s="27" t="str">
        <f t="shared" ca="1" si="30"/>
        <v/>
      </c>
      <c r="L98" s="27" t="str">
        <f t="shared" ca="1" si="42"/>
        <v/>
      </c>
      <c r="M98" s="27" t="str">
        <f t="shared" ca="1" si="42"/>
        <v/>
      </c>
      <c r="N98" s="27" t="str">
        <f t="shared" ca="1" si="31"/>
        <v/>
      </c>
      <c r="O98" s="27" t="str">
        <f t="shared" ca="1" si="31"/>
        <v/>
      </c>
      <c r="P98" s="27" t="str">
        <f t="shared" ca="1" si="42"/>
        <v/>
      </c>
      <c r="Q98" s="27" t="str">
        <f t="shared" ca="1" si="42"/>
        <v/>
      </c>
      <c r="R98" s="27" t="str">
        <f t="shared" ca="1" si="32"/>
        <v/>
      </c>
      <c r="S98" s="27" t="str">
        <f t="shared" ca="1" si="32"/>
        <v/>
      </c>
      <c r="T98" s="27" t="str">
        <f t="shared" ca="1" si="43"/>
        <v/>
      </c>
      <c r="U98" s="27" t="str">
        <f t="shared" ca="1" si="43"/>
        <v/>
      </c>
      <c r="V98" s="27" t="str">
        <f t="shared" ca="1" si="33"/>
        <v/>
      </c>
      <c r="W98" s="27" t="str">
        <f t="shared" ca="1" si="33"/>
        <v/>
      </c>
      <c r="X98" s="27" t="str">
        <f t="shared" ca="1" si="44"/>
        <v/>
      </c>
      <c r="Y98" s="27" t="str">
        <f t="shared" ca="1" si="44"/>
        <v/>
      </c>
      <c r="Z98" s="27" t="str">
        <f t="shared" ca="1" si="34"/>
        <v/>
      </c>
      <c r="AA98" s="27" t="str">
        <f t="shared" ca="1" si="34"/>
        <v/>
      </c>
      <c r="AB98" s="27" t="str">
        <f t="shared" ca="1" si="45"/>
        <v/>
      </c>
      <c r="AC98" s="27" t="str">
        <f t="shared" ca="1" si="45"/>
        <v/>
      </c>
      <c r="AD98" s="27" t="str">
        <f t="shared" ca="1" si="35"/>
        <v/>
      </c>
      <c r="AE98" s="27" t="str">
        <f t="shared" ca="1" si="35"/>
        <v/>
      </c>
      <c r="AF98" s="27" t="str">
        <f t="shared" ca="1" si="46"/>
        <v/>
      </c>
      <c r="AG98" s="27" t="str">
        <f t="shared" ca="1" si="46"/>
        <v/>
      </c>
    </row>
    <row r="99" spans="1:33" hidden="1" outlineLevel="1">
      <c r="A99">
        <f>+MATCH($B99,'Rent Comps - Input'!$A$2:$A$80,0)+1</f>
        <v>74</v>
      </c>
      <c r="B99">
        <f t="shared" si="47"/>
        <v>10</v>
      </c>
      <c r="C99" s="17" t="str">
        <f t="shared" ca="1" si="36"/>
        <v/>
      </c>
      <c r="D99" s="17" t="str">
        <f t="shared" ca="1" si="37"/>
        <v/>
      </c>
      <c r="E99" s="17" t="str">
        <f t="shared" ca="1" si="38"/>
        <v/>
      </c>
      <c r="F99" s="17" t="str">
        <f t="shared" ca="1" si="39"/>
        <v/>
      </c>
      <c r="G99" s="17" t="str">
        <f t="shared" ca="1" si="40"/>
        <v/>
      </c>
      <c r="H99" s="17" t="str">
        <f t="shared" ca="1" si="41"/>
        <v/>
      </c>
      <c r="I99" s="65">
        <f ca="1">+VLOOKUP($B99,'Rent Comps - Input'!$A:$C,3,0)</f>
        <v>0</v>
      </c>
      <c r="J99" s="27" t="str">
        <f t="shared" ca="1" si="30"/>
        <v/>
      </c>
      <c r="K99" s="27" t="str">
        <f t="shared" ca="1" si="30"/>
        <v/>
      </c>
      <c r="L99" s="27" t="str">
        <f t="shared" ca="1" si="42"/>
        <v/>
      </c>
      <c r="M99" s="27" t="str">
        <f t="shared" ca="1" si="42"/>
        <v/>
      </c>
      <c r="N99" s="27" t="str">
        <f t="shared" ca="1" si="31"/>
        <v/>
      </c>
      <c r="O99" s="27" t="str">
        <f t="shared" ca="1" si="31"/>
        <v/>
      </c>
      <c r="P99" s="27" t="str">
        <f t="shared" ca="1" si="42"/>
        <v/>
      </c>
      <c r="Q99" s="27" t="str">
        <f t="shared" ca="1" si="42"/>
        <v/>
      </c>
      <c r="R99" s="27" t="str">
        <f t="shared" ca="1" si="32"/>
        <v/>
      </c>
      <c r="S99" s="27" t="str">
        <f t="shared" ca="1" si="32"/>
        <v/>
      </c>
      <c r="T99" s="27" t="str">
        <f t="shared" ca="1" si="43"/>
        <v/>
      </c>
      <c r="U99" s="27" t="str">
        <f t="shared" ca="1" si="43"/>
        <v/>
      </c>
      <c r="V99" s="27" t="str">
        <f t="shared" ca="1" si="33"/>
        <v/>
      </c>
      <c r="W99" s="27" t="str">
        <f t="shared" ca="1" si="33"/>
        <v/>
      </c>
      <c r="X99" s="27" t="str">
        <f t="shared" ca="1" si="44"/>
        <v/>
      </c>
      <c r="Y99" s="27" t="str">
        <f t="shared" ca="1" si="44"/>
        <v/>
      </c>
      <c r="Z99" s="27" t="str">
        <f t="shared" ca="1" si="34"/>
        <v/>
      </c>
      <c r="AA99" s="27" t="str">
        <f t="shared" ca="1" si="34"/>
        <v/>
      </c>
      <c r="AB99" s="27" t="str">
        <f t="shared" ca="1" si="45"/>
        <v/>
      </c>
      <c r="AC99" s="27" t="str">
        <f t="shared" ca="1" si="45"/>
        <v/>
      </c>
      <c r="AD99" s="27" t="str">
        <f t="shared" ca="1" si="35"/>
        <v/>
      </c>
      <c r="AE99" s="27" t="str">
        <f t="shared" ca="1" si="35"/>
        <v/>
      </c>
      <c r="AF99" s="27" t="str">
        <f t="shared" ca="1" si="46"/>
        <v/>
      </c>
      <c r="AG99" s="27" t="str">
        <f t="shared" ca="1" si="46"/>
        <v/>
      </c>
    </row>
    <row r="100" spans="1:33" collapsed="1"/>
  </sheetData>
  <sheetProtection algorithmName="SHA-512" hashValue="RIYpDxOf1YIh0TPzmYAGT0qg2ciu0R/rWmy/Q4MktOvHD1IC+7K/EZfdQ2DiyzmsaXgPIlczdfKw8pkGTuqJJg==" saltValue="Uuw8XEyc9cg9lVO7suNvUg==" spinCount="100000" sheet="1" objects="1" scenarios="1" formatColumns="0" selectLockedCells="1"/>
  <mergeCells count="26">
    <mergeCell ref="A1:H1"/>
    <mergeCell ref="B3:H3"/>
    <mergeCell ref="B17:H17"/>
    <mergeCell ref="B73:H73"/>
    <mergeCell ref="B59:H59"/>
    <mergeCell ref="B45:H45"/>
    <mergeCell ref="B31:H31"/>
    <mergeCell ref="D33:E33"/>
    <mergeCell ref="D47:E47"/>
    <mergeCell ref="D61:E61"/>
    <mergeCell ref="D5:E5"/>
    <mergeCell ref="D19:E19"/>
    <mergeCell ref="Z89:AC89"/>
    <mergeCell ref="V89:Y89"/>
    <mergeCell ref="AD89:AG89"/>
    <mergeCell ref="F5:G5"/>
    <mergeCell ref="F19:G19"/>
    <mergeCell ref="F33:G33"/>
    <mergeCell ref="F47:G47"/>
    <mergeCell ref="F61:G61"/>
    <mergeCell ref="F75:G75"/>
    <mergeCell ref="D75:E75"/>
    <mergeCell ref="J89:M89"/>
    <mergeCell ref="N89:Q89"/>
    <mergeCell ref="C89:H89"/>
    <mergeCell ref="R89:U89"/>
  </mergeCells>
  <conditionalFormatting sqref="C1:C1048576">
    <cfRule type="containsText" dxfId="0" priority="1" operator="containsText" text="(Subject)">
      <formula>NOT(ISERROR(SEARCH("(Subject)",C1)))</formula>
    </cfRule>
  </conditionalFormatting>
  <pageMargins left="0.7" right="0.7" top="0.75" bottom="0.75" header="0.3" footer="0.3"/>
  <pageSetup orientation="portrait" r:id="rId1"/>
  <headerFooter>
    <oddFooter>&amp;C&amp;"Copperplate Gothic Light,Bold"&amp;16&amp;K04-049Chavis Capital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V34"/>
  <sheetViews>
    <sheetView showGridLines="0" workbookViewId="0">
      <selection activeCell="C17" sqref="C17"/>
    </sheetView>
  </sheetViews>
  <sheetFormatPr defaultRowHeight="12.75"/>
  <cols>
    <col min="1" max="1" width="28.59765625" bestFit="1" customWidth="1"/>
    <col min="2" max="2" width="2" customWidth="1"/>
    <col min="3" max="3" width="10.6640625" bestFit="1" customWidth="1"/>
  </cols>
  <sheetData>
    <row r="1" spans="1:22" ht="30">
      <c r="A1" s="74" t="str">
        <f ca="1">MID(CELL("filename",A1),FIND("]",CELL("filename",A1))+1,255)</f>
        <v>Sale Comps</v>
      </c>
      <c r="B1" s="77"/>
      <c r="C1" s="78">
        <v>1</v>
      </c>
      <c r="D1" s="79"/>
      <c r="E1" s="78">
        <f>+C1+1</f>
        <v>2</v>
      </c>
      <c r="F1" s="79"/>
      <c r="G1" s="78">
        <f>+E1+1</f>
        <v>3</v>
      </c>
      <c r="H1" s="79"/>
      <c r="I1" s="78">
        <f>+G1+1</f>
        <v>4</v>
      </c>
      <c r="J1" s="79"/>
      <c r="K1" s="78">
        <f>+I1+1</f>
        <v>5</v>
      </c>
      <c r="L1" s="79"/>
      <c r="M1" s="78">
        <f>+K1+1</f>
        <v>6</v>
      </c>
      <c r="N1" s="79"/>
      <c r="O1" s="78">
        <f>+M1+1</f>
        <v>7</v>
      </c>
      <c r="P1" s="79"/>
      <c r="Q1" s="78">
        <f>+O1+1</f>
        <v>8</v>
      </c>
      <c r="R1" s="79"/>
      <c r="S1" s="78">
        <f>+Q1+1</f>
        <v>9</v>
      </c>
      <c r="T1" s="79"/>
      <c r="U1" s="78">
        <f>+S1+1</f>
        <v>10</v>
      </c>
      <c r="V1" s="79"/>
    </row>
    <row r="2" spans="1:22">
      <c r="A2" t="s">
        <v>0</v>
      </c>
      <c r="C2" s="14">
        <f>+Name</f>
        <v>0</v>
      </c>
      <c r="D2" s="14"/>
      <c r="E2" s="86"/>
      <c r="F2" s="14"/>
      <c r="G2" s="86"/>
      <c r="H2" s="14"/>
      <c r="I2" s="86"/>
      <c r="J2" s="14"/>
      <c r="K2" s="86"/>
      <c r="L2" s="14"/>
      <c r="M2" s="86"/>
      <c r="N2" s="14"/>
      <c r="O2" s="86"/>
      <c r="P2" s="14"/>
      <c r="Q2" s="86"/>
      <c r="R2" s="14"/>
      <c r="S2" s="86"/>
      <c r="T2" s="14"/>
      <c r="U2" s="86"/>
    </row>
    <row r="3" spans="1:22">
      <c r="A3" t="s">
        <v>1</v>
      </c>
      <c r="C3" s="14"/>
      <c r="D3" s="14"/>
      <c r="E3" s="86"/>
      <c r="F3" s="14"/>
      <c r="G3" s="86"/>
      <c r="H3" s="14"/>
      <c r="I3" s="86"/>
      <c r="J3" s="14"/>
      <c r="K3" s="86"/>
      <c r="L3" s="14"/>
      <c r="M3" s="86"/>
      <c r="N3" s="14"/>
      <c r="O3" s="86"/>
      <c r="P3" s="14"/>
      <c r="Q3" s="86"/>
      <c r="R3" s="14"/>
      <c r="S3" s="86"/>
      <c r="T3" s="14"/>
      <c r="U3" s="86"/>
    </row>
    <row r="4" spans="1:22">
      <c r="A4" t="s">
        <v>216</v>
      </c>
      <c r="C4" s="14"/>
      <c r="D4" s="14"/>
      <c r="E4" s="86"/>
      <c r="F4" s="14"/>
      <c r="G4" s="86"/>
      <c r="H4" s="14"/>
      <c r="I4" s="86"/>
      <c r="J4" s="14"/>
      <c r="K4" s="86"/>
      <c r="L4" s="14"/>
      <c r="M4" s="86"/>
      <c r="N4" s="14"/>
      <c r="O4" s="86"/>
      <c r="P4" s="14"/>
      <c r="Q4" s="86"/>
      <c r="R4" s="14"/>
      <c r="S4" s="86"/>
      <c r="T4" s="14"/>
      <c r="U4" s="86"/>
    </row>
    <row r="5" spans="1:22">
      <c r="A5" t="s">
        <v>191</v>
      </c>
      <c r="C5" s="14"/>
      <c r="D5" s="14"/>
      <c r="E5" s="86"/>
      <c r="F5" s="14"/>
      <c r="G5" s="86"/>
      <c r="H5" s="14"/>
      <c r="I5" s="86"/>
      <c r="J5" s="14"/>
      <c r="K5" s="86"/>
      <c r="L5" s="14"/>
      <c r="M5" s="86"/>
      <c r="N5" s="14"/>
      <c r="O5" s="86"/>
      <c r="P5" s="14"/>
      <c r="Q5" s="86"/>
      <c r="R5" s="14"/>
      <c r="S5" s="86"/>
      <c r="T5" s="14"/>
      <c r="U5" s="86"/>
    </row>
    <row r="6" spans="1:22">
      <c r="A6" t="s">
        <v>3</v>
      </c>
      <c r="C6" s="14">
        <f>+U</f>
        <v>40</v>
      </c>
      <c r="D6" s="14"/>
      <c r="E6" s="86"/>
      <c r="F6" s="14"/>
      <c r="G6" s="86"/>
      <c r="H6" s="14"/>
      <c r="I6" s="86"/>
      <c r="J6" s="14"/>
      <c r="K6" s="86"/>
      <c r="L6" s="14"/>
      <c r="M6" s="86"/>
      <c r="N6" s="14"/>
      <c r="O6" s="86"/>
      <c r="P6" s="14"/>
      <c r="Q6" s="86"/>
      <c r="R6" s="14"/>
      <c r="S6" s="86"/>
      <c r="T6" s="14"/>
      <c r="U6" s="86"/>
    </row>
    <row r="7" spans="1:22">
      <c r="A7" t="s">
        <v>217</v>
      </c>
      <c r="C7" s="27">
        <f>+P</f>
        <v>5000000</v>
      </c>
      <c r="D7" s="27"/>
      <c r="E7" s="87"/>
      <c r="F7" s="27"/>
      <c r="G7" s="87"/>
      <c r="H7" s="27"/>
      <c r="I7" s="87"/>
      <c r="J7" s="27"/>
      <c r="K7" s="87"/>
      <c r="L7" s="27"/>
      <c r="M7" s="87"/>
      <c r="N7" s="27"/>
      <c r="O7" s="87"/>
      <c r="P7" s="27"/>
      <c r="Q7" s="87"/>
      <c r="R7" s="27"/>
      <c r="S7" s="87"/>
      <c r="T7" s="27"/>
      <c r="U7" s="87"/>
      <c r="V7" s="69"/>
    </row>
    <row r="8" spans="1:22">
      <c r="A8" t="s">
        <v>223</v>
      </c>
      <c r="C8" s="27">
        <f>+IFERROR(C7/C6,"")</f>
        <v>125000</v>
      </c>
      <c r="D8" s="27"/>
      <c r="E8" s="87" t="str">
        <f>+IFERROR(E7/E6,"")</f>
        <v/>
      </c>
      <c r="F8" s="27"/>
      <c r="G8" s="87" t="str">
        <f>+IFERROR(G7/G6,"")</f>
        <v/>
      </c>
      <c r="H8" s="27"/>
      <c r="I8" s="87" t="str">
        <f>+IFERROR(I7/I6,"")</f>
        <v/>
      </c>
      <c r="J8" s="27"/>
      <c r="K8" s="87" t="str">
        <f>+IFERROR(K7/K6,"")</f>
        <v/>
      </c>
      <c r="L8" s="27"/>
      <c r="M8" s="87" t="str">
        <f>+IFERROR(M7/M6,"")</f>
        <v/>
      </c>
      <c r="N8" s="27"/>
      <c r="O8" s="87" t="str">
        <f>+IFERROR(O7/O6,"")</f>
        <v/>
      </c>
      <c r="P8" s="27"/>
      <c r="Q8" s="87" t="str">
        <f>+IFERROR(Q7/Q6,"")</f>
        <v/>
      </c>
      <c r="R8" s="27"/>
      <c r="S8" s="87" t="str">
        <f>+IFERROR(S7/S6,"")</f>
        <v/>
      </c>
      <c r="T8" s="27"/>
      <c r="U8" s="87" t="str">
        <f>+IFERROR(U7/U6,"")</f>
        <v/>
      </c>
      <c r="V8" s="69"/>
    </row>
    <row r="9" spans="1:22">
      <c r="A9" t="s">
        <v>224</v>
      </c>
      <c r="C9" s="17"/>
      <c r="D9" s="17"/>
      <c r="E9" s="88"/>
      <c r="F9" s="17"/>
      <c r="G9" s="88"/>
      <c r="H9" s="17"/>
      <c r="I9" s="88"/>
      <c r="J9" s="17"/>
      <c r="K9" s="88"/>
      <c r="L9" s="17"/>
      <c r="M9" s="88"/>
      <c r="N9" s="17"/>
      <c r="O9" s="88"/>
      <c r="P9" s="17"/>
      <c r="Q9" s="88"/>
      <c r="R9" s="17"/>
      <c r="S9" s="88"/>
      <c r="T9" s="17"/>
      <c r="U9" s="88"/>
      <c r="V9" s="64"/>
    </row>
    <row r="10" spans="1:22">
      <c r="A10" t="s">
        <v>215</v>
      </c>
      <c r="C10" s="14"/>
      <c r="D10" s="14"/>
      <c r="E10" s="89"/>
      <c r="F10" s="14"/>
      <c r="G10" s="89"/>
      <c r="H10" s="14"/>
      <c r="I10" s="89"/>
      <c r="J10" s="14"/>
      <c r="K10" s="89"/>
      <c r="L10" s="14"/>
      <c r="M10" s="89"/>
      <c r="N10" s="14"/>
      <c r="O10" s="89"/>
      <c r="P10" s="14"/>
      <c r="Q10" s="89"/>
      <c r="R10" s="14"/>
      <c r="S10" s="89"/>
      <c r="T10" s="14"/>
      <c r="U10" s="89"/>
    </row>
    <row r="12" spans="1:22">
      <c r="A12" t="s">
        <v>221</v>
      </c>
      <c r="C12" s="27" t="e">
        <f>+AVERAGE(E7,G7,I7,K7,M7,O7,Q7,S7,U7)</f>
        <v>#DIV/0!</v>
      </c>
    </row>
    <row r="13" spans="1:22">
      <c r="A13" t="s">
        <v>222</v>
      </c>
      <c r="C13" s="27" t="e">
        <f>+AVERAGE(E8,G8,I8,K8,M8,O8,Q8,S8,U8)</f>
        <v>#DIV/0!</v>
      </c>
    </row>
    <row r="14" spans="1:22">
      <c r="A14" s="70">
        <v>2018</v>
      </c>
      <c r="C14" s="27" t="e">
        <f>+AVERAGEIFS($E$8:$V$8,$E$9:$V$9,"&gt;="&amp;$A14)</f>
        <v>#DIV/0!</v>
      </c>
    </row>
    <row r="15" spans="1:22">
      <c r="A15" s="71">
        <f>+YearBuilt</f>
        <v>0</v>
      </c>
      <c r="C15" s="27" t="e">
        <f>+AVERAGEIFS($E$8:$V$8,$E$5:$V$5,"&gt;="&amp;$A15)</f>
        <v>#DIV/0!</v>
      </c>
    </row>
    <row r="16" spans="1:22">
      <c r="A16" s="510">
        <f>+YearBuilt</f>
        <v>0</v>
      </c>
      <c r="C16" s="27" t="e">
        <f>+AVERAGEIFS($E$8:$V$8,$E$5:$V$5,"&lt;="&amp;$A16)</f>
        <v>#DIV/0!</v>
      </c>
    </row>
    <row r="18" spans="1:22" ht="13.15">
      <c r="A18" s="13" t="s">
        <v>44</v>
      </c>
    </row>
    <row r="19" spans="1:22">
      <c r="A19" s="560" t="s">
        <v>352</v>
      </c>
      <c r="B19" s="560"/>
      <c r="C19" s="560"/>
      <c r="D19" s="560"/>
      <c r="E19" s="560"/>
      <c r="F19" s="560"/>
      <c r="G19" s="560"/>
      <c r="H19" s="560"/>
      <c r="I19" s="560"/>
      <c r="J19" s="560"/>
      <c r="K19" s="560"/>
      <c r="L19" s="560"/>
      <c r="M19" s="560"/>
      <c r="N19" s="560"/>
      <c r="O19" s="560"/>
      <c r="P19" s="560"/>
      <c r="Q19" s="560"/>
      <c r="R19" s="560"/>
      <c r="S19" s="560"/>
      <c r="T19" s="560"/>
      <c r="U19" s="560"/>
      <c r="V19" s="560"/>
    </row>
    <row r="20" spans="1:22">
      <c r="A20" s="560"/>
      <c r="B20" s="560"/>
      <c r="C20" s="560"/>
      <c r="D20" s="560"/>
      <c r="E20" s="560"/>
      <c r="F20" s="560"/>
      <c r="G20" s="560"/>
      <c r="H20" s="560"/>
      <c r="I20" s="560"/>
      <c r="J20" s="560"/>
      <c r="K20" s="560"/>
      <c r="L20" s="560"/>
      <c r="M20" s="560"/>
      <c r="N20" s="560"/>
      <c r="O20" s="560"/>
      <c r="P20" s="560"/>
      <c r="Q20" s="560"/>
      <c r="R20" s="560"/>
      <c r="S20" s="560"/>
      <c r="T20" s="560"/>
      <c r="U20" s="560"/>
      <c r="V20" s="560"/>
    </row>
    <row r="21" spans="1:22">
      <c r="A21" s="560"/>
      <c r="B21" s="560"/>
      <c r="C21" s="560"/>
      <c r="D21" s="560"/>
      <c r="E21" s="560"/>
      <c r="F21" s="560"/>
      <c r="G21" s="560"/>
      <c r="H21" s="560"/>
      <c r="I21" s="560"/>
      <c r="J21" s="560"/>
      <c r="K21" s="560"/>
      <c r="L21" s="560"/>
      <c r="M21" s="560"/>
      <c r="N21" s="560"/>
      <c r="O21" s="560"/>
      <c r="P21" s="560"/>
      <c r="Q21" s="560"/>
      <c r="R21" s="560"/>
      <c r="S21" s="560"/>
      <c r="T21" s="560"/>
      <c r="U21" s="560"/>
      <c r="V21" s="560"/>
    </row>
    <row r="22" spans="1:22">
      <c r="A22" s="560"/>
      <c r="B22" s="560"/>
      <c r="C22" s="560"/>
      <c r="D22" s="560"/>
      <c r="E22" s="560"/>
      <c r="F22" s="560"/>
      <c r="G22" s="560"/>
      <c r="H22" s="560"/>
      <c r="I22" s="560"/>
      <c r="J22" s="560"/>
      <c r="K22" s="560"/>
      <c r="L22" s="560"/>
      <c r="M22" s="560"/>
      <c r="N22" s="560"/>
      <c r="O22" s="560"/>
      <c r="P22" s="560"/>
      <c r="Q22" s="560"/>
      <c r="R22" s="560"/>
      <c r="S22" s="560"/>
      <c r="T22" s="560"/>
      <c r="U22" s="560"/>
      <c r="V22" s="560"/>
    </row>
    <row r="23" spans="1:22">
      <c r="A23" s="560"/>
      <c r="B23" s="560"/>
      <c r="C23" s="560"/>
      <c r="D23" s="560"/>
      <c r="E23" s="560"/>
      <c r="F23" s="560"/>
      <c r="G23" s="560"/>
      <c r="H23" s="560"/>
      <c r="I23" s="560"/>
      <c r="J23" s="560"/>
      <c r="K23" s="560"/>
      <c r="L23" s="560"/>
      <c r="M23" s="560"/>
      <c r="N23" s="560"/>
      <c r="O23" s="560"/>
      <c r="P23" s="560"/>
      <c r="Q23" s="560"/>
      <c r="R23" s="560"/>
      <c r="S23" s="560"/>
      <c r="T23" s="560"/>
      <c r="U23" s="560"/>
      <c r="V23" s="560"/>
    </row>
    <row r="24" spans="1:22">
      <c r="A24" s="560"/>
      <c r="B24" s="560"/>
      <c r="C24" s="560"/>
      <c r="D24" s="560"/>
      <c r="E24" s="560"/>
      <c r="F24" s="560"/>
      <c r="G24" s="560"/>
      <c r="H24" s="560"/>
      <c r="I24" s="560"/>
      <c r="J24" s="560"/>
      <c r="K24" s="560"/>
      <c r="L24" s="560"/>
      <c r="M24" s="560"/>
      <c r="N24" s="560"/>
      <c r="O24" s="560"/>
      <c r="P24" s="560"/>
      <c r="Q24" s="560"/>
      <c r="R24" s="560"/>
      <c r="S24" s="560"/>
      <c r="T24" s="560"/>
      <c r="U24" s="560"/>
      <c r="V24" s="560"/>
    </row>
    <row r="25" spans="1:22">
      <c r="A25" s="560"/>
      <c r="B25" s="560"/>
      <c r="C25" s="560"/>
      <c r="D25" s="560"/>
      <c r="E25" s="560"/>
      <c r="F25" s="560"/>
      <c r="G25" s="560"/>
      <c r="H25" s="560"/>
      <c r="I25" s="560"/>
      <c r="J25" s="560"/>
      <c r="K25" s="560"/>
      <c r="L25" s="560"/>
      <c r="M25" s="560"/>
      <c r="N25" s="560"/>
      <c r="O25" s="560"/>
      <c r="P25" s="560"/>
      <c r="Q25" s="560"/>
      <c r="R25" s="560"/>
      <c r="S25" s="560"/>
      <c r="T25" s="560"/>
      <c r="U25" s="560"/>
      <c r="V25" s="560"/>
    </row>
    <row r="26" spans="1:22">
      <c r="A26" s="560"/>
      <c r="B26" s="560"/>
      <c r="C26" s="560"/>
      <c r="D26" s="560"/>
      <c r="E26" s="560"/>
      <c r="F26" s="560"/>
      <c r="G26" s="560"/>
      <c r="H26" s="560"/>
      <c r="I26" s="560"/>
      <c r="J26" s="560"/>
      <c r="K26" s="560"/>
      <c r="L26" s="560"/>
      <c r="M26" s="560"/>
      <c r="N26" s="560"/>
      <c r="O26" s="560"/>
      <c r="P26" s="560"/>
      <c r="Q26" s="560"/>
      <c r="R26" s="560"/>
      <c r="S26" s="560"/>
      <c r="T26" s="560"/>
      <c r="U26" s="560"/>
      <c r="V26" s="560"/>
    </row>
    <row r="27" spans="1:22">
      <c r="A27" s="560"/>
      <c r="B27" s="560"/>
      <c r="C27" s="560"/>
      <c r="D27" s="560"/>
      <c r="E27" s="560"/>
      <c r="F27" s="560"/>
      <c r="G27" s="560"/>
      <c r="H27" s="560"/>
      <c r="I27" s="560"/>
      <c r="J27" s="560"/>
      <c r="K27" s="560"/>
      <c r="L27" s="560"/>
      <c r="M27" s="560"/>
      <c r="N27" s="560"/>
      <c r="O27" s="560"/>
      <c r="P27" s="560"/>
      <c r="Q27" s="560"/>
      <c r="R27" s="560"/>
      <c r="S27" s="560"/>
      <c r="T27" s="560"/>
      <c r="U27" s="560"/>
      <c r="V27" s="560"/>
    </row>
    <row r="28" spans="1:22">
      <c r="A28" s="560"/>
      <c r="B28" s="560"/>
      <c r="C28" s="560"/>
      <c r="D28" s="560"/>
      <c r="E28" s="560"/>
      <c r="F28" s="560"/>
      <c r="G28" s="560"/>
      <c r="H28" s="560"/>
      <c r="I28" s="560"/>
      <c r="J28" s="560"/>
      <c r="K28" s="560"/>
      <c r="L28" s="560"/>
      <c r="M28" s="560"/>
      <c r="N28" s="560"/>
      <c r="O28" s="560"/>
      <c r="P28" s="560"/>
      <c r="Q28" s="560"/>
      <c r="R28" s="560"/>
      <c r="S28" s="560"/>
      <c r="T28" s="560"/>
      <c r="U28" s="560"/>
      <c r="V28" s="560"/>
    </row>
    <row r="29" spans="1:22">
      <c r="A29" s="560"/>
      <c r="B29" s="560"/>
      <c r="C29" s="560"/>
      <c r="D29" s="560"/>
      <c r="E29" s="560"/>
      <c r="F29" s="560"/>
      <c r="G29" s="560"/>
      <c r="H29" s="560"/>
      <c r="I29" s="560"/>
      <c r="J29" s="560"/>
      <c r="K29" s="560"/>
      <c r="L29" s="560"/>
      <c r="M29" s="560"/>
      <c r="N29" s="560"/>
      <c r="O29" s="560"/>
      <c r="P29" s="560"/>
      <c r="Q29" s="560"/>
      <c r="R29" s="560"/>
      <c r="S29" s="560"/>
      <c r="T29" s="560"/>
      <c r="U29" s="560"/>
      <c r="V29" s="560"/>
    </row>
    <row r="30" spans="1:22">
      <c r="A30" s="560"/>
      <c r="B30" s="560"/>
      <c r="C30" s="560"/>
      <c r="D30" s="560"/>
      <c r="E30" s="560"/>
      <c r="F30" s="560"/>
      <c r="G30" s="560"/>
      <c r="H30" s="560"/>
      <c r="I30" s="560"/>
      <c r="J30" s="560"/>
      <c r="K30" s="560"/>
      <c r="L30" s="560"/>
      <c r="M30" s="560"/>
      <c r="N30" s="560"/>
      <c r="O30" s="560"/>
      <c r="P30" s="560"/>
      <c r="Q30" s="560"/>
      <c r="R30" s="560"/>
      <c r="S30" s="560"/>
      <c r="T30" s="560"/>
      <c r="U30" s="560"/>
      <c r="V30" s="560"/>
    </row>
    <row r="31" spans="1:22">
      <c r="A31" s="560"/>
      <c r="B31" s="560"/>
      <c r="C31" s="560"/>
      <c r="D31" s="560"/>
      <c r="E31" s="560"/>
      <c r="F31" s="560"/>
      <c r="G31" s="560"/>
      <c r="H31" s="560"/>
      <c r="I31" s="560"/>
      <c r="J31" s="560"/>
      <c r="K31" s="560"/>
      <c r="L31" s="560"/>
      <c r="M31" s="560"/>
      <c r="N31" s="560"/>
      <c r="O31" s="560"/>
      <c r="P31" s="560"/>
      <c r="Q31" s="560"/>
      <c r="R31" s="560"/>
      <c r="S31" s="560"/>
      <c r="T31" s="560"/>
      <c r="U31" s="560"/>
      <c r="V31" s="560"/>
    </row>
    <row r="32" spans="1:22">
      <c r="A32" s="560"/>
      <c r="B32" s="560"/>
      <c r="C32" s="560"/>
      <c r="D32" s="560"/>
      <c r="E32" s="560"/>
      <c r="F32" s="560"/>
      <c r="G32" s="560"/>
      <c r="H32" s="560"/>
      <c r="I32" s="560"/>
      <c r="J32" s="560"/>
      <c r="K32" s="560"/>
      <c r="L32" s="560"/>
      <c r="M32" s="560"/>
      <c r="N32" s="560"/>
      <c r="O32" s="560"/>
      <c r="P32" s="560"/>
      <c r="Q32" s="560"/>
      <c r="R32" s="560"/>
      <c r="S32" s="560"/>
      <c r="T32" s="560"/>
      <c r="U32" s="560"/>
      <c r="V32" s="560"/>
    </row>
    <row r="33" spans="1:22">
      <c r="A33" s="560"/>
      <c r="B33" s="560"/>
      <c r="C33" s="560"/>
      <c r="D33" s="560"/>
      <c r="E33" s="560"/>
      <c r="F33" s="560"/>
      <c r="G33" s="560"/>
      <c r="H33" s="560"/>
      <c r="I33" s="560"/>
      <c r="J33" s="560"/>
      <c r="K33" s="560"/>
      <c r="L33" s="560"/>
      <c r="M33" s="560"/>
      <c r="N33" s="560"/>
      <c r="O33" s="560"/>
      <c r="P33" s="560"/>
      <c r="Q33" s="560"/>
      <c r="R33" s="560"/>
      <c r="S33" s="560"/>
      <c r="T33" s="560"/>
      <c r="U33" s="560"/>
      <c r="V33" s="560"/>
    </row>
    <row r="34" spans="1:22">
      <c r="A34" s="560"/>
      <c r="B34" s="560"/>
      <c r="C34" s="560"/>
      <c r="D34" s="560"/>
      <c r="E34" s="560"/>
      <c r="F34" s="560"/>
      <c r="G34" s="560"/>
      <c r="H34" s="560"/>
      <c r="I34" s="560"/>
      <c r="J34" s="560"/>
      <c r="K34" s="560"/>
      <c r="L34" s="560"/>
      <c r="M34" s="560"/>
      <c r="N34" s="560"/>
      <c r="O34" s="560"/>
      <c r="P34" s="560"/>
      <c r="Q34" s="560"/>
      <c r="R34" s="560"/>
      <c r="S34" s="560"/>
      <c r="T34" s="560"/>
      <c r="U34" s="560"/>
      <c r="V34" s="560"/>
    </row>
  </sheetData>
  <mergeCells count="1">
    <mergeCell ref="A19:V34"/>
  </mergeCells>
  <pageMargins left="0.7" right="0.7" top="0.75" bottom="0.75" header="0.3" footer="0.3"/>
  <pageSetup orientation="portrait" r:id="rId1"/>
  <headerFooter>
    <oddFooter>&amp;C&amp;"Copperplate Gothic Light,Bold"&amp;16&amp;K04-049Chavis Capital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64"/>
  <sheetViews>
    <sheetView showGridLines="0" workbookViewId="0">
      <selection activeCell="B4" sqref="B4:C4"/>
    </sheetView>
  </sheetViews>
  <sheetFormatPr defaultRowHeight="12.75"/>
  <cols>
    <col min="1" max="1" width="9.1328125" style="66"/>
    <col min="2" max="3" width="60.6640625" style="66" customWidth="1"/>
  </cols>
  <sheetData>
    <row r="1" spans="2:3" ht="13.15" thickBot="1"/>
    <row r="2" spans="2:3" ht="30.75" thickTop="1" thickBot="1">
      <c r="B2" s="535" t="s">
        <v>423</v>
      </c>
      <c r="C2" s="536"/>
    </row>
    <row r="3" spans="2:3" ht="3.75" customHeight="1" thickTop="1">
      <c r="B3" s="413"/>
    </row>
    <row r="4" spans="2:3" ht="409.5" customHeight="1">
      <c r="B4" s="538" t="s">
        <v>424</v>
      </c>
      <c r="C4" s="539"/>
    </row>
    <row r="5" spans="2:3" ht="3.75" customHeight="1"/>
    <row r="6" spans="2:3">
      <c r="B6"/>
      <c r="C6"/>
    </row>
    <row r="7" spans="2:3">
      <c r="B7"/>
      <c r="C7"/>
    </row>
    <row r="8" spans="2:3" ht="24.95" customHeight="1">
      <c r="B8"/>
      <c r="C8"/>
    </row>
    <row r="9" spans="2:3">
      <c r="B9"/>
      <c r="C9"/>
    </row>
    <row r="10" spans="2:3">
      <c r="B10"/>
      <c r="C10"/>
    </row>
    <row r="11" spans="2:3">
      <c r="B11"/>
      <c r="C11"/>
    </row>
    <row r="12" spans="2:3">
      <c r="B12"/>
      <c r="C12"/>
    </row>
    <row r="13" spans="2:3" ht="24.95" customHeight="1">
      <c r="B13"/>
      <c r="C13"/>
    </row>
    <row r="14" spans="2:3">
      <c r="B14"/>
      <c r="C14"/>
    </row>
    <row r="15" spans="2:3" ht="24.95" customHeight="1">
      <c r="B15"/>
      <c r="C15"/>
    </row>
    <row r="16" spans="2:3">
      <c r="B16"/>
      <c r="C16"/>
    </row>
    <row r="17" spans="2:3">
      <c r="B17"/>
      <c r="C17"/>
    </row>
    <row r="18" spans="2:3">
      <c r="B18"/>
      <c r="C18"/>
    </row>
    <row r="19" spans="2:3">
      <c r="B19"/>
      <c r="C19"/>
    </row>
    <row r="20" spans="2:3">
      <c r="B20"/>
      <c r="C20"/>
    </row>
    <row r="21" spans="2:3">
      <c r="B21"/>
      <c r="C21"/>
    </row>
    <row r="22" spans="2:3">
      <c r="B22"/>
      <c r="C22"/>
    </row>
    <row r="23" spans="2:3">
      <c r="B23"/>
      <c r="C23"/>
    </row>
    <row r="24" spans="2:3">
      <c r="B24"/>
      <c r="C24"/>
    </row>
    <row r="25" spans="2:3">
      <c r="B25"/>
      <c r="C25"/>
    </row>
    <row r="26" spans="2:3">
      <c r="B26"/>
      <c r="C26"/>
    </row>
    <row r="27" spans="2:3">
      <c r="B27"/>
      <c r="C27"/>
    </row>
    <row r="28" spans="2:3">
      <c r="B28"/>
      <c r="C28"/>
    </row>
    <row r="29" spans="2:3">
      <c r="B29"/>
      <c r="C29"/>
    </row>
    <row r="30" spans="2:3">
      <c r="B30"/>
      <c r="C30"/>
    </row>
    <row r="31" spans="2:3">
      <c r="B31"/>
      <c r="C31"/>
    </row>
    <row r="32" spans="2:3">
      <c r="B32"/>
      <c r="C32"/>
    </row>
    <row r="33" spans="2:3">
      <c r="B33"/>
      <c r="C33"/>
    </row>
    <row r="34" spans="2:3">
      <c r="B34"/>
      <c r="C34"/>
    </row>
    <row r="35" spans="2:3">
      <c r="B35"/>
      <c r="C35"/>
    </row>
    <row r="36" spans="2:3">
      <c r="B36"/>
      <c r="C36"/>
    </row>
    <row r="37" spans="2:3">
      <c r="B37"/>
      <c r="C37"/>
    </row>
    <row r="38" spans="2:3">
      <c r="B38"/>
      <c r="C38"/>
    </row>
    <row r="39" spans="2:3">
      <c r="B39"/>
      <c r="C39"/>
    </row>
    <row r="40" spans="2:3">
      <c r="B40"/>
      <c r="C40"/>
    </row>
    <row r="41" spans="2:3">
      <c r="B41"/>
      <c r="C41"/>
    </row>
    <row r="42" spans="2:3">
      <c r="B42"/>
      <c r="C42"/>
    </row>
    <row r="43" spans="2:3">
      <c r="B43"/>
      <c r="C43"/>
    </row>
    <row r="44" spans="2:3">
      <c r="B44"/>
      <c r="C44"/>
    </row>
    <row r="45" spans="2:3">
      <c r="B45"/>
      <c r="C45"/>
    </row>
    <row r="46" spans="2:3">
      <c r="B46"/>
      <c r="C46"/>
    </row>
    <row r="47" spans="2:3">
      <c r="B47"/>
      <c r="C47"/>
    </row>
    <row r="48" spans="2:3">
      <c r="B48"/>
      <c r="C48"/>
    </row>
    <row r="49" spans="2:3">
      <c r="B49"/>
      <c r="C49"/>
    </row>
    <row r="50" spans="2:3">
      <c r="B50"/>
      <c r="C50"/>
    </row>
    <row r="51" spans="2:3">
      <c r="B51"/>
      <c r="C51"/>
    </row>
    <row r="52" spans="2:3">
      <c r="B52"/>
      <c r="C52"/>
    </row>
    <row r="53" spans="2:3">
      <c r="B53"/>
      <c r="C53"/>
    </row>
    <row r="54" spans="2:3">
      <c r="B54"/>
      <c r="C54"/>
    </row>
    <row r="55" spans="2:3">
      <c r="B55"/>
      <c r="C55"/>
    </row>
    <row r="56" spans="2:3">
      <c r="B56"/>
      <c r="C56"/>
    </row>
    <row r="57" spans="2:3">
      <c r="B57"/>
      <c r="C57"/>
    </row>
    <row r="58" spans="2:3">
      <c r="B58"/>
      <c r="C58"/>
    </row>
    <row r="59" spans="2:3">
      <c r="B59"/>
      <c r="C59"/>
    </row>
    <row r="60" spans="2:3">
      <c r="B60"/>
      <c r="C60"/>
    </row>
    <row r="61" spans="2:3">
      <c r="B61"/>
      <c r="C61"/>
    </row>
    <row r="62" spans="2:3">
      <c r="B62"/>
      <c r="C62"/>
    </row>
    <row r="63" spans="2:3">
      <c r="B63"/>
      <c r="C63"/>
    </row>
    <row r="64" spans="2:3">
      <c r="B64"/>
      <c r="C64"/>
    </row>
  </sheetData>
  <mergeCells count="2">
    <mergeCell ref="B2:C2"/>
    <mergeCell ref="B4:C4"/>
  </mergeCells>
  <pageMargins left="0.7" right="0.7" top="0.75" bottom="0.75" header="0.3" footer="0.3"/>
  <pageSetup orientation="portrait" r:id="rId1"/>
  <headerFooter>
    <oddFooter>&amp;C&amp;"Copperplate Gothic Light,Bold"&amp;16&amp;K04-049Chavis Capital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showGridLines="0" workbookViewId="0">
      <selection activeCell="C8" sqref="C8"/>
    </sheetView>
  </sheetViews>
  <sheetFormatPr defaultRowHeight="12.75"/>
  <cols>
    <col min="1" max="1" width="9.1328125" style="66"/>
    <col min="2" max="3" width="60.6640625" style="66" customWidth="1"/>
  </cols>
  <sheetData>
    <row r="1" spans="2:3" ht="13.15" thickBot="1"/>
    <row r="2" spans="2:3" ht="30.75" thickTop="1" thickBot="1">
      <c r="B2" s="535" t="s">
        <v>398</v>
      </c>
      <c r="C2" s="536"/>
    </row>
    <row r="3" spans="2:3" ht="3.75" customHeight="1" thickTop="1">
      <c r="B3" s="413"/>
    </row>
    <row r="4" spans="2:3" ht="141" customHeight="1">
      <c r="B4" s="538" t="s">
        <v>420</v>
      </c>
      <c r="C4" s="539"/>
    </row>
    <row r="5" spans="2:3" ht="3.75" customHeight="1" thickBot="1"/>
    <row r="6" spans="2:3" ht="20.25">
      <c r="B6" s="422" t="s">
        <v>398</v>
      </c>
      <c r="C6" s="423" t="s">
        <v>401</v>
      </c>
    </row>
    <row r="7" spans="2:3" ht="63.75">
      <c r="B7" s="419" t="s">
        <v>421</v>
      </c>
      <c r="C7" s="424" t="s">
        <v>422</v>
      </c>
    </row>
    <row r="8" spans="2:3" ht="24.95" customHeight="1">
      <c r="B8" s="419" t="s">
        <v>399</v>
      </c>
      <c r="C8" s="424" t="s">
        <v>412</v>
      </c>
    </row>
    <row r="9" spans="2:3" ht="25.5">
      <c r="B9" s="419" t="s">
        <v>400</v>
      </c>
      <c r="C9" s="424" t="s">
        <v>411</v>
      </c>
    </row>
    <row r="10" spans="2:3" ht="76.5">
      <c r="B10" s="419" t="s">
        <v>402</v>
      </c>
      <c r="C10" s="424" t="s">
        <v>410</v>
      </c>
    </row>
    <row r="11" spans="2:3" ht="38.25">
      <c r="B11" s="419" t="s">
        <v>403</v>
      </c>
      <c r="C11" s="424" t="s">
        <v>409</v>
      </c>
    </row>
    <row r="12" spans="2:3" ht="38.25">
      <c r="B12" s="419" t="s">
        <v>353</v>
      </c>
      <c r="C12" s="424" t="s">
        <v>408</v>
      </c>
    </row>
    <row r="13" spans="2:3" ht="24.95" customHeight="1">
      <c r="B13" s="419" t="s">
        <v>233</v>
      </c>
      <c r="C13" s="424" t="s">
        <v>406</v>
      </c>
    </row>
    <row r="14" spans="2:3" ht="38.25">
      <c r="B14" s="419" t="s">
        <v>235</v>
      </c>
      <c r="C14" s="424" t="s">
        <v>407</v>
      </c>
    </row>
    <row r="15" spans="2:3" ht="24.95" customHeight="1" thickBot="1">
      <c r="B15" s="420" t="s">
        <v>404</v>
      </c>
      <c r="C15" s="425" t="s">
        <v>405</v>
      </c>
    </row>
  </sheetData>
  <mergeCells count="2">
    <mergeCell ref="B2:C2"/>
    <mergeCell ref="B4:C4"/>
  </mergeCells>
  <pageMargins left="0.7" right="0.7" top="0.75" bottom="0.75" header="0.3" footer="0.3"/>
  <pageSetup orientation="portrait" r:id="rId1"/>
  <headerFooter>
    <oddFooter>&amp;C&amp;"Copperplate Gothic Light,Bold"&amp;16&amp;K04-049Chavis Capital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A1:AC100"/>
  <sheetViews>
    <sheetView showGridLines="0" tabSelected="1" zoomScaleNormal="100" workbookViewId="0">
      <selection activeCell="D4" sqref="D4"/>
    </sheetView>
  </sheetViews>
  <sheetFormatPr defaultColWidth="9.1328125" defaultRowHeight="12.75"/>
  <cols>
    <col min="1" max="1" width="9.1328125" style="151"/>
    <col min="2" max="2" width="0.6640625" style="151" customWidth="1"/>
    <col min="3" max="3" width="14.265625" style="151" bestFit="1" customWidth="1"/>
    <col min="4" max="4" width="23.59765625" style="151" customWidth="1"/>
    <col min="5" max="5" width="9.73046875" style="151" customWidth="1"/>
    <col min="6" max="6" width="31.796875" style="151" bestFit="1" customWidth="1"/>
    <col min="7" max="7" width="8.86328125" style="151" bestFit="1" customWidth="1"/>
    <col min="8" max="8" width="9.73046875" style="151" bestFit="1" customWidth="1"/>
    <col min="9" max="9" width="22.1328125" style="151" bestFit="1" customWidth="1"/>
    <col min="10" max="10" width="18.73046875" style="151" bestFit="1" customWidth="1"/>
    <col min="11" max="11" width="19" style="151" bestFit="1" customWidth="1"/>
    <col min="12" max="12" width="22" style="151" bestFit="1" customWidth="1"/>
    <col min="13" max="13" width="12.6640625" style="151" customWidth="1"/>
    <col min="14" max="14" width="9.73046875" style="151" bestFit="1" customWidth="1"/>
    <col min="15" max="15" width="19.1328125" style="151" bestFit="1" customWidth="1"/>
    <col min="16" max="16" width="11.33203125" style="151" bestFit="1" customWidth="1"/>
    <col min="17" max="17" width="9.73046875" style="151" bestFit="1" customWidth="1"/>
    <col min="18" max="19" width="9.1328125" style="151"/>
    <col min="20" max="20" width="10.6640625" style="151" bestFit="1" customWidth="1"/>
    <col min="21" max="21" width="0.6640625" style="151" customWidth="1"/>
    <col min="22" max="16384" width="9.1328125" style="151"/>
  </cols>
  <sheetData>
    <row r="1" spans="1:29" s="443" customFormat="1" ht="30">
      <c r="A1" s="411" t="str">
        <f ca="1">MID(CELL("filename",A1),FIND("]",CELL("filename",A1))+1,255)</f>
        <v>Dashboard</v>
      </c>
      <c r="B1" s="412"/>
      <c r="C1" s="412"/>
      <c r="D1" s="412"/>
      <c r="E1" s="412"/>
      <c r="F1" s="441"/>
      <c r="G1" s="441"/>
      <c r="H1" s="441"/>
      <c r="I1" s="441"/>
      <c r="J1" s="441"/>
      <c r="K1" s="441"/>
      <c r="L1" s="441"/>
      <c r="M1" s="441"/>
      <c r="N1" s="441"/>
      <c r="O1" s="441"/>
      <c r="P1" s="441"/>
      <c r="Q1" s="441"/>
      <c r="R1" s="441"/>
      <c r="S1" s="441"/>
      <c r="T1" s="441"/>
      <c r="U1" s="441"/>
      <c r="V1" s="441"/>
      <c r="W1" s="442"/>
      <c r="X1" s="442"/>
      <c r="Y1" s="174"/>
    </row>
    <row r="2" spans="1:29" ht="3.75" customHeight="1" thickBot="1">
      <c r="A2" s="444"/>
      <c r="B2" s="445"/>
      <c r="C2" s="445"/>
      <c r="D2" s="445"/>
      <c r="E2" s="445"/>
      <c r="F2" s="446"/>
      <c r="G2" s="372">
        <v>2</v>
      </c>
      <c r="H2" s="372">
        <f>+G2+1</f>
        <v>3</v>
      </c>
      <c r="I2" s="372">
        <f t="shared" ref="I2:K2" si="0">+H2+1</f>
        <v>4</v>
      </c>
      <c r="J2" s="372">
        <f t="shared" si="0"/>
        <v>5</v>
      </c>
      <c r="K2" s="372">
        <f t="shared" si="0"/>
        <v>6</v>
      </c>
      <c r="L2" s="372"/>
      <c r="M2" s="372"/>
      <c r="N2" s="445"/>
      <c r="O2" s="445"/>
      <c r="P2" s="445"/>
      <c r="Q2" s="445"/>
      <c r="R2" s="445"/>
      <c r="S2" s="445"/>
      <c r="T2" s="445"/>
      <c r="U2" s="445"/>
      <c r="V2" s="444"/>
    </row>
    <row r="3" spans="1:29" ht="15">
      <c r="A3" s="444"/>
      <c r="B3" s="445"/>
      <c r="C3" s="549" t="s">
        <v>226</v>
      </c>
      <c r="D3" s="550"/>
      <c r="E3" s="445"/>
      <c r="F3" s="373" t="s">
        <v>259</v>
      </c>
      <c r="G3" s="374" t="s">
        <v>265</v>
      </c>
      <c r="H3" s="374" t="s">
        <v>45</v>
      </c>
      <c r="I3" s="374" t="s">
        <v>266</v>
      </c>
      <c r="J3" s="512" t="s">
        <v>438</v>
      </c>
      <c r="K3" s="374" t="s">
        <v>267</v>
      </c>
      <c r="L3" s="512" t="s">
        <v>439</v>
      </c>
      <c r="M3" s="440" t="s">
        <v>417</v>
      </c>
      <c r="N3" s="445"/>
      <c r="O3" s="373" t="s">
        <v>290</v>
      </c>
      <c r="P3" s="374"/>
      <c r="Q3" s="374"/>
      <c r="R3" s="374"/>
      <c r="S3" s="374"/>
      <c r="T3" s="440"/>
      <c r="U3" s="375"/>
      <c r="V3" s="444"/>
      <c r="AA3" s="447"/>
      <c r="AC3" s="151" t="s">
        <v>264</v>
      </c>
    </row>
    <row r="4" spans="1:29" ht="13.15">
      <c r="A4" s="444"/>
      <c r="B4" s="445"/>
      <c r="C4" s="448" t="s">
        <v>0</v>
      </c>
      <c r="D4" s="516"/>
      <c r="E4" s="445"/>
      <c r="F4" s="481" t="s">
        <v>91</v>
      </c>
      <c r="G4" s="482">
        <v>15</v>
      </c>
      <c r="H4" s="483">
        <v>500</v>
      </c>
      <c r="I4" s="484">
        <v>600</v>
      </c>
      <c r="J4" s="27">
        <f>+$G4*I4*12</f>
        <v>108000</v>
      </c>
      <c r="K4" s="484">
        <v>700</v>
      </c>
      <c r="L4" s="27">
        <f>+$G4*K4*12</f>
        <v>126000</v>
      </c>
      <c r="M4" s="377">
        <f>+IFERROR(K4/I4-1,"")</f>
        <v>0.16666666666666674</v>
      </c>
      <c r="N4" s="445"/>
      <c r="O4" s="448" t="s">
        <v>288</v>
      </c>
      <c r="P4" s="460">
        <f>+ROUND(P*75%,-4)</f>
        <v>3750000</v>
      </c>
      <c r="Q4" s="485">
        <f>+P4/P</f>
        <v>0.75</v>
      </c>
      <c r="R4" s="381"/>
      <c r="S4" s="381">
        <v>1</v>
      </c>
      <c r="T4" s="382">
        <f>+IF($Q$5="Fixed",$P$5,$P$5)</f>
        <v>0.04</v>
      </c>
      <c r="U4" s="379"/>
      <c r="V4" s="444"/>
      <c r="AC4" s="151" t="s">
        <v>91</v>
      </c>
    </row>
    <row r="5" spans="1:29" ht="13.15">
      <c r="A5" s="444"/>
      <c r="B5" s="445"/>
      <c r="C5" s="448" t="s">
        <v>1</v>
      </c>
      <c r="D5" s="516"/>
      <c r="E5" s="445"/>
      <c r="F5" s="481" t="s">
        <v>92</v>
      </c>
      <c r="G5" s="482">
        <v>15</v>
      </c>
      <c r="H5" s="483">
        <v>700</v>
      </c>
      <c r="I5" s="484">
        <v>800</v>
      </c>
      <c r="J5" s="27">
        <f t="shared" ref="J5:L10" si="1">+$G5*I5*12</f>
        <v>144000</v>
      </c>
      <c r="K5" s="484">
        <v>900</v>
      </c>
      <c r="L5" s="27">
        <f t="shared" si="1"/>
        <v>162000</v>
      </c>
      <c r="M5" s="377">
        <f>+IFERROR(K5/I5-1,"")</f>
        <v>0.125</v>
      </c>
      <c r="N5" s="445"/>
      <c r="O5" s="448" t="s">
        <v>289</v>
      </c>
      <c r="P5" s="376">
        <v>0.04</v>
      </c>
      <c r="Q5" s="486" t="s">
        <v>230</v>
      </c>
      <c r="R5" s="376">
        <v>2.5000000000000001E-3</v>
      </c>
      <c r="S5" s="381">
        <f>+S4+1</f>
        <v>2</v>
      </c>
      <c r="T5" s="382">
        <f>+IF($Q$5="Fixed",$P$5,$T4+$R$5)</f>
        <v>0.04</v>
      </c>
      <c r="U5" s="379"/>
      <c r="V5" s="444"/>
      <c r="AC5" s="151" t="s">
        <v>92</v>
      </c>
    </row>
    <row r="6" spans="1:29" ht="13.15">
      <c r="A6" s="444"/>
      <c r="B6" s="445"/>
      <c r="C6" s="448" t="s">
        <v>425</v>
      </c>
      <c r="D6" s="516"/>
      <c r="E6" s="445"/>
      <c r="F6" s="481" t="s">
        <v>93</v>
      </c>
      <c r="G6" s="482">
        <v>10</v>
      </c>
      <c r="H6" s="483">
        <v>1000</v>
      </c>
      <c r="I6" s="484">
        <v>1000</v>
      </c>
      <c r="J6" s="27">
        <f t="shared" si="1"/>
        <v>120000</v>
      </c>
      <c r="K6" s="484">
        <v>1200</v>
      </c>
      <c r="L6" s="27">
        <f t="shared" si="1"/>
        <v>144000</v>
      </c>
      <c r="M6" s="377">
        <f>+IFERROR(K6/I6-1,"")</f>
        <v>0.19999999999999996</v>
      </c>
      <c r="N6" s="445"/>
      <c r="O6" s="448" t="s">
        <v>287</v>
      </c>
      <c r="P6" s="486">
        <v>0</v>
      </c>
      <c r="Q6" s="381"/>
      <c r="R6" s="381"/>
      <c r="S6" s="381">
        <f>+S5+1</f>
        <v>3</v>
      </c>
      <c r="T6" s="382">
        <f t="shared" ref="T6:T13" si="2">+IF($Q$5="Fixed",$P$5,$T5+$R$5)</f>
        <v>0.04</v>
      </c>
      <c r="U6" s="379"/>
      <c r="V6" s="444"/>
      <c r="AC6" s="151" t="s">
        <v>93</v>
      </c>
    </row>
    <row r="7" spans="1:29" ht="13.15">
      <c r="A7" s="444"/>
      <c r="B7" s="445"/>
      <c r="C7" s="448" t="s">
        <v>227</v>
      </c>
      <c r="D7" s="516"/>
      <c r="E7" s="445"/>
      <c r="F7" s="481" t="s">
        <v>264</v>
      </c>
      <c r="G7" s="482"/>
      <c r="H7" s="483"/>
      <c r="I7" s="484"/>
      <c r="J7" s="27">
        <f t="shared" si="1"/>
        <v>0</v>
      </c>
      <c r="K7" s="484"/>
      <c r="L7" s="27">
        <f t="shared" si="1"/>
        <v>0</v>
      </c>
      <c r="M7" s="377" t="str">
        <f>+IFERROR(K7/I7-1,"")</f>
        <v/>
      </c>
      <c r="N7" s="445"/>
      <c r="O7" s="448" t="s">
        <v>298</v>
      </c>
      <c r="P7" s="486">
        <v>360</v>
      </c>
      <c r="Q7" s="381"/>
      <c r="R7" s="381"/>
      <c r="S7" s="381">
        <f t="shared" ref="S7:S13" si="3">+S6+1</f>
        <v>4</v>
      </c>
      <c r="T7" s="382">
        <f t="shared" si="2"/>
        <v>0.04</v>
      </c>
      <c r="U7" s="379"/>
      <c r="V7" s="444"/>
      <c r="AC7" s="151" t="s">
        <v>195</v>
      </c>
    </row>
    <row r="8" spans="1:29" ht="13.15">
      <c r="A8" s="444"/>
      <c r="B8" s="445"/>
      <c r="C8" s="448" t="s">
        <v>228</v>
      </c>
      <c r="D8" s="516"/>
      <c r="E8" s="445"/>
      <c r="F8" s="481" t="s">
        <v>264</v>
      </c>
      <c r="G8" s="482"/>
      <c r="H8" s="483"/>
      <c r="I8" s="484"/>
      <c r="J8" s="27">
        <f t="shared" si="1"/>
        <v>0</v>
      </c>
      <c r="K8" s="484"/>
      <c r="L8" s="27">
        <f t="shared" si="1"/>
        <v>0</v>
      </c>
      <c r="M8" s="377" t="str">
        <f t="shared" ref="M8:M11" si="4">+IFERROR(K8/I8-1,"")</f>
        <v/>
      </c>
      <c r="N8" s="445"/>
      <c r="O8" s="448" t="s">
        <v>294</v>
      </c>
      <c r="P8" s="410">
        <f ca="1">+CDate</f>
        <v>44409</v>
      </c>
      <c r="Q8" s="381"/>
      <c r="R8" s="381"/>
      <c r="S8" s="381">
        <f t="shared" si="3"/>
        <v>5</v>
      </c>
      <c r="T8" s="382">
        <f t="shared" si="2"/>
        <v>0.04</v>
      </c>
      <c r="U8" s="379"/>
      <c r="V8" s="444"/>
      <c r="AC8" s="151" t="s">
        <v>196</v>
      </c>
    </row>
    <row r="9" spans="1:29" ht="13.15">
      <c r="A9" s="444"/>
      <c r="B9" s="445"/>
      <c r="C9" s="448" t="s">
        <v>2</v>
      </c>
      <c r="D9" s="516"/>
      <c r="E9" s="445"/>
      <c r="F9" s="481" t="s">
        <v>264</v>
      </c>
      <c r="G9" s="381"/>
      <c r="H9" s="381"/>
      <c r="I9" s="381"/>
      <c r="J9" s="27">
        <f t="shared" si="1"/>
        <v>0</v>
      </c>
      <c r="K9" s="381"/>
      <c r="L9" s="27">
        <f t="shared" si="1"/>
        <v>0</v>
      </c>
      <c r="M9" s="377" t="str">
        <f t="shared" si="4"/>
        <v/>
      </c>
      <c r="N9" s="445"/>
      <c r="O9" s="448"/>
      <c r="P9" s="381"/>
      <c r="Q9" s="381"/>
      <c r="R9" s="381"/>
      <c r="S9" s="381">
        <f t="shared" si="3"/>
        <v>6</v>
      </c>
      <c r="T9" s="382">
        <f t="shared" si="2"/>
        <v>0.04</v>
      </c>
      <c r="U9" s="379"/>
      <c r="V9" s="444"/>
      <c r="AC9" s="151" t="s">
        <v>94</v>
      </c>
    </row>
    <row r="10" spans="1:29" ht="13.15">
      <c r="A10" s="444"/>
      <c r="B10" s="445"/>
      <c r="C10" s="448" t="s">
        <v>3</v>
      </c>
      <c r="D10" s="514">
        <f>+U</f>
        <v>40</v>
      </c>
      <c r="E10" s="445"/>
      <c r="F10" s="481" t="s">
        <v>264</v>
      </c>
      <c r="G10" s="381"/>
      <c r="H10" s="381"/>
      <c r="I10" s="381"/>
      <c r="J10" s="27">
        <f t="shared" si="1"/>
        <v>0</v>
      </c>
      <c r="K10" s="381"/>
      <c r="L10" s="27">
        <f t="shared" si="1"/>
        <v>0</v>
      </c>
      <c r="M10" s="377" t="str">
        <f t="shared" si="4"/>
        <v/>
      </c>
      <c r="N10" s="445"/>
      <c r="O10" s="498" t="s">
        <v>431</v>
      </c>
      <c r="P10" s="499">
        <f>+(Worksheet!E53-Worksheet!E43-Worksheet!E44+Worksheet!G43+Worksheet!G44)/(SUMIFS(Amortization!$K$5:$K$15,Amortization!$I$5:$I$15,O11)+SUMIFS(Amortization!$L$5:$L$15,Amortization!$I$5:$I$15,O11))</f>
        <v>0.2560081827773466</v>
      </c>
      <c r="Q10" s="381"/>
      <c r="R10" s="381"/>
      <c r="S10" s="381">
        <f t="shared" si="3"/>
        <v>7</v>
      </c>
      <c r="T10" s="382">
        <f t="shared" si="2"/>
        <v>0.04</v>
      </c>
      <c r="U10" s="379"/>
      <c r="V10" s="444"/>
      <c r="AC10" s="151" t="s">
        <v>260</v>
      </c>
    </row>
    <row r="11" spans="1:29" ht="13.5" thickBot="1">
      <c r="A11" s="444"/>
      <c r="B11" s="445"/>
      <c r="C11" s="450" t="s">
        <v>6</v>
      </c>
      <c r="D11" s="515"/>
      <c r="E11" s="445"/>
      <c r="F11" s="487" t="s">
        <v>435</v>
      </c>
      <c r="G11" s="488">
        <f>+SUM(G4:G10)</f>
        <v>40</v>
      </c>
      <c r="H11" s="489">
        <f>+SUMPRODUCT($G$4:$G$10,H4:H10)/U</f>
        <v>700</v>
      </c>
      <c r="I11" s="490">
        <f>+SUMPRODUCT($G$4:$G$10,I4:I10)/U</f>
        <v>775</v>
      </c>
      <c r="J11" s="490">
        <f>SUM(J4:J10)</f>
        <v>372000</v>
      </c>
      <c r="K11" s="490">
        <f>+SUMPRODUCT($G$4:$G$10,K4:K10)/U</f>
        <v>900</v>
      </c>
      <c r="L11" s="490">
        <f>SUM(L4:L10)</f>
        <v>432000</v>
      </c>
      <c r="M11" s="491">
        <f t="shared" si="4"/>
        <v>0.16129032258064524</v>
      </c>
      <c r="N11" s="445"/>
      <c r="O11" s="498">
        <v>1</v>
      </c>
      <c r="P11" s="499">
        <f>+LOOKUP(O11,Cashflow!$D$4:$N$4,Cashflow!$D$100:$N$100)/(SUMIFS(Amortization!$K$5:$K$15,Amortization!$I$5:$I$15,O11)+SUMIFS(Amortization!$L$5:$L$15,Amortization!$I$5:$I$15,O11))</f>
        <v>1.2583971687069189</v>
      </c>
      <c r="Q11" s="381"/>
      <c r="R11" s="381"/>
      <c r="S11" s="381">
        <f t="shared" si="3"/>
        <v>8</v>
      </c>
      <c r="T11" s="382">
        <f t="shared" si="2"/>
        <v>0.04</v>
      </c>
      <c r="U11" s="379"/>
      <c r="V11" s="444"/>
      <c r="AC11" s="151" t="s">
        <v>261</v>
      </c>
    </row>
    <row r="12" spans="1:29" ht="13.5" thickBot="1">
      <c r="A12" s="444"/>
      <c r="B12" s="445"/>
      <c r="C12" s="445"/>
      <c r="D12" s="445"/>
      <c r="E12" s="445"/>
      <c r="F12" s="445"/>
      <c r="G12" s="445"/>
      <c r="H12" s="445"/>
      <c r="I12" s="445"/>
      <c r="J12" s="445"/>
      <c r="K12" s="445"/>
      <c r="L12" s="445"/>
      <c r="M12" s="445"/>
      <c r="N12" s="445"/>
      <c r="O12" s="448"/>
      <c r="P12" s="381"/>
      <c r="Q12" s="381"/>
      <c r="R12" s="381"/>
      <c r="S12" s="381">
        <f t="shared" si="3"/>
        <v>9</v>
      </c>
      <c r="T12" s="382">
        <f t="shared" si="2"/>
        <v>0.04</v>
      </c>
      <c r="U12" s="379"/>
      <c r="V12" s="444"/>
      <c r="AC12" s="151" t="s">
        <v>95</v>
      </c>
    </row>
    <row r="13" spans="1:29" ht="15.4" thickBot="1">
      <c r="A13" s="444"/>
      <c r="B13" s="445"/>
      <c r="C13" s="549" t="s">
        <v>254</v>
      </c>
      <c r="D13" s="550"/>
      <c r="E13" s="445"/>
      <c r="F13" s="373" t="s">
        <v>314</v>
      </c>
      <c r="G13" s="374"/>
      <c r="H13" s="374"/>
      <c r="I13" s="374"/>
      <c r="J13" s="374"/>
      <c r="K13" s="440"/>
      <c r="L13" s="513"/>
      <c r="M13" s="513"/>
      <c r="N13" s="445"/>
      <c r="O13" s="450"/>
      <c r="P13" s="384"/>
      <c r="Q13" s="384"/>
      <c r="R13" s="384"/>
      <c r="S13" s="384">
        <f t="shared" si="3"/>
        <v>10</v>
      </c>
      <c r="T13" s="492">
        <f t="shared" si="2"/>
        <v>0.04</v>
      </c>
      <c r="U13" s="379"/>
      <c r="V13" s="444"/>
      <c r="AC13" s="151" t="s">
        <v>262</v>
      </c>
    </row>
    <row r="14" spans="1:29" ht="13.5" thickBot="1">
      <c r="A14" s="444"/>
      <c r="B14" s="445"/>
      <c r="C14" s="448" t="s">
        <v>229</v>
      </c>
      <c r="D14" s="451"/>
      <c r="E14" s="445"/>
      <c r="F14" s="452" t="s">
        <v>316</v>
      </c>
      <c r="G14" s="376">
        <v>0.08</v>
      </c>
      <c r="H14" s="381"/>
      <c r="I14" s="381"/>
      <c r="J14" s="381"/>
      <c r="K14" s="449"/>
      <c r="L14" s="513"/>
      <c r="M14" s="513"/>
      <c r="N14" s="445"/>
      <c r="O14" s="445"/>
      <c r="P14" s="445"/>
      <c r="Q14" s="445"/>
      <c r="R14" s="445"/>
      <c r="S14" s="445"/>
      <c r="T14" s="445"/>
      <c r="U14" s="453"/>
      <c r="V14" s="444"/>
      <c r="AC14" s="151" t="s">
        <v>263</v>
      </c>
    </row>
    <row r="15" spans="1:29" ht="15">
      <c r="A15" s="444"/>
      <c r="B15" s="445"/>
      <c r="C15" s="448" t="s">
        <v>5</v>
      </c>
      <c r="D15" s="451"/>
      <c r="E15" s="445"/>
      <c r="F15" s="452" t="s">
        <v>360</v>
      </c>
      <c r="G15" s="381" t="s">
        <v>361</v>
      </c>
      <c r="H15" s="376">
        <v>0.8</v>
      </c>
      <c r="I15" s="445"/>
      <c r="J15" s="381" t="s">
        <v>323</v>
      </c>
      <c r="K15" s="377">
        <f>1-H15</f>
        <v>0.19999999999999996</v>
      </c>
      <c r="L15" s="513"/>
      <c r="M15" s="513"/>
      <c r="N15" s="445"/>
      <c r="O15" s="373" t="s">
        <v>293</v>
      </c>
      <c r="P15" s="374"/>
      <c r="Q15" s="374"/>
      <c r="R15" s="374"/>
      <c r="S15" s="374"/>
      <c r="T15" s="440"/>
      <c r="U15" s="375"/>
      <c r="V15" s="444"/>
    </row>
    <row r="16" spans="1:29" ht="13.15">
      <c r="A16" s="444"/>
      <c r="B16" s="445"/>
      <c r="C16" s="448"/>
      <c r="D16" s="449"/>
      <c r="E16" s="445"/>
      <c r="F16" s="452" t="s">
        <v>324</v>
      </c>
      <c r="G16" s="381" t="s">
        <v>361</v>
      </c>
      <c r="H16" s="376">
        <v>0.5</v>
      </c>
      <c r="I16" s="445"/>
      <c r="J16" s="381" t="s">
        <v>323</v>
      </c>
      <c r="K16" s="377">
        <f>1-H16</f>
        <v>0.5</v>
      </c>
      <c r="L16" s="513"/>
      <c r="M16" s="513"/>
      <c r="N16" s="445"/>
      <c r="O16" s="448" t="s">
        <v>295</v>
      </c>
      <c r="P16" s="460">
        <f>+AVERAGE(LOOKUP(INT(Waterfall!C45),Cashflow!$D$4:$N$4,Cashflow!$D$100:$N$100),LOOKUP(INT(Waterfall!C45)+1,Cashflow!$D$4:$N$4,Cashflow!$D$100:$N$100))</f>
        <v>286048.49762500002</v>
      </c>
      <c r="Q16" s="381"/>
      <c r="R16" s="381"/>
      <c r="S16" s="378" t="s">
        <v>296</v>
      </c>
      <c r="T16" s="382">
        <v>0.06</v>
      </c>
      <c r="U16" s="379"/>
      <c r="V16" s="444"/>
    </row>
    <row r="17" spans="1:22" ht="15.4" thickBot="1">
      <c r="A17" s="444"/>
      <c r="B17" s="445"/>
      <c r="C17" s="454" t="s">
        <v>4</v>
      </c>
      <c r="D17" s="449"/>
      <c r="E17" s="445"/>
      <c r="F17" s="448"/>
      <c r="G17" s="379"/>
      <c r="H17" s="381"/>
      <c r="I17" s="381"/>
      <c r="J17" s="381"/>
      <c r="K17" s="449"/>
      <c r="L17" s="513"/>
      <c r="M17" s="513"/>
      <c r="N17" s="445"/>
      <c r="O17" s="448" t="s">
        <v>76</v>
      </c>
      <c r="P17" s="455">
        <f>+P16/T16*Q17</f>
        <v>3575606.2203125004</v>
      </c>
      <c r="Q17" s="493">
        <v>0.75</v>
      </c>
      <c r="R17" s="381"/>
      <c r="S17" s="378" t="s">
        <v>297</v>
      </c>
      <c r="T17" s="382">
        <f>+P5+0.5%</f>
        <v>4.4999999999999998E-2</v>
      </c>
      <c r="U17" s="379"/>
      <c r="V17" s="444"/>
    </row>
    <row r="18" spans="1:22" ht="15">
      <c r="A18" s="444"/>
      <c r="B18" s="445"/>
      <c r="C18" s="456" t="s">
        <v>220</v>
      </c>
      <c r="D18" s="457"/>
      <c r="E18" s="458"/>
      <c r="F18" s="373" t="s">
        <v>320</v>
      </c>
      <c r="G18" s="374"/>
      <c r="H18" s="374"/>
      <c r="I18" s="374"/>
      <c r="J18" s="374"/>
      <c r="K18" s="440"/>
      <c r="L18" s="513"/>
      <c r="M18" s="513"/>
      <c r="N18" s="445"/>
      <c r="O18" s="448" t="s">
        <v>75</v>
      </c>
      <c r="P18" s="455">
        <f>+PV(T17/12,T19,(-P16/Q18/12))</f>
        <v>3763657.5349342055</v>
      </c>
      <c r="Q18" s="380">
        <v>1.25</v>
      </c>
      <c r="R18" s="381"/>
      <c r="S18" s="378" t="s">
        <v>287</v>
      </c>
      <c r="T18" s="393">
        <v>0</v>
      </c>
      <c r="U18" s="494"/>
      <c r="V18" s="444"/>
    </row>
    <row r="19" spans="1:22" ht="13.15">
      <c r="A19" s="444"/>
      <c r="B19" s="445"/>
      <c r="C19" s="448"/>
      <c r="D19" s="459">
        <f>+AskingPrice/U</f>
        <v>0</v>
      </c>
      <c r="E19" s="458"/>
      <c r="F19" s="551" t="s">
        <v>315</v>
      </c>
      <c r="G19" s="552"/>
      <c r="H19" s="376">
        <v>0.01</v>
      </c>
      <c r="I19" s="381"/>
      <c r="J19" s="381" t="s">
        <v>322</v>
      </c>
      <c r="K19" s="382">
        <v>0</v>
      </c>
      <c r="L19" s="513"/>
      <c r="M19" s="513"/>
      <c r="N19" s="445"/>
      <c r="O19" s="448" t="s">
        <v>77</v>
      </c>
      <c r="P19" s="460"/>
      <c r="Q19" s="381"/>
      <c r="R19" s="381"/>
      <c r="S19" s="378" t="s">
        <v>298</v>
      </c>
      <c r="T19" s="393">
        <v>360</v>
      </c>
      <c r="U19" s="494"/>
      <c r="V19" s="444"/>
    </row>
    <row r="20" spans="1:22" ht="13.5" thickBot="1">
      <c r="A20" s="444"/>
      <c r="B20" s="445"/>
      <c r="C20" s="456" t="s">
        <v>268</v>
      </c>
      <c r="D20" s="457">
        <v>5000000</v>
      </c>
      <c r="E20" s="445"/>
      <c r="F20" s="551" t="s">
        <v>317</v>
      </c>
      <c r="G20" s="552"/>
      <c r="H20" s="376">
        <v>0.01</v>
      </c>
      <c r="I20" s="381"/>
      <c r="J20" s="381" t="s">
        <v>321</v>
      </c>
      <c r="K20" s="503">
        <v>5000</v>
      </c>
      <c r="L20" s="513"/>
      <c r="M20" s="513"/>
      <c r="N20" s="445"/>
      <c r="O20" s="461" t="s">
        <v>78</v>
      </c>
      <c r="P20" s="462">
        <f>+IF(O20="Manual",P19,MIN(P17:P18))</f>
        <v>3575606.2203125004</v>
      </c>
      <c r="Q20" s="384"/>
      <c r="R20" s="384"/>
      <c r="S20" s="495" t="s">
        <v>230</v>
      </c>
      <c r="T20" s="492">
        <v>2.5000000000000001E-3</v>
      </c>
      <c r="U20" s="379"/>
      <c r="V20" s="444"/>
    </row>
    <row r="21" spans="1:22" ht="13.5" thickBot="1">
      <c r="A21" s="444"/>
      <c r="B21" s="445"/>
      <c r="C21" s="448"/>
      <c r="D21" s="459">
        <f>+D20/U</f>
        <v>125000</v>
      </c>
      <c r="E21" s="445"/>
      <c r="F21" s="551" t="s">
        <v>318</v>
      </c>
      <c r="G21" s="552"/>
      <c r="H21" s="376">
        <v>0.08</v>
      </c>
      <c r="I21" s="381"/>
      <c r="J21" s="381" t="s">
        <v>47</v>
      </c>
      <c r="K21" s="382">
        <v>0</v>
      </c>
      <c r="L21" s="513"/>
      <c r="M21" s="513"/>
      <c r="N21" s="445"/>
      <c r="O21" s="445"/>
      <c r="P21" s="445"/>
      <c r="Q21" s="445"/>
      <c r="R21" s="445"/>
      <c r="S21" s="445"/>
      <c r="T21" s="445"/>
      <c r="U21" s="453"/>
      <c r="V21" s="444"/>
    </row>
    <row r="22" spans="1:22" ht="15.4" thickBot="1">
      <c r="A22" s="444"/>
      <c r="B22" s="445"/>
      <c r="C22" s="448"/>
      <c r="D22" s="449"/>
      <c r="E22" s="445"/>
      <c r="F22" s="547" t="s">
        <v>319</v>
      </c>
      <c r="G22" s="548"/>
      <c r="H22" s="383">
        <v>0.05</v>
      </c>
      <c r="I22" s="384"/>
      <c r="J22" s="384" t="s">
        <v>48</v>
      </c>
      <c r="K22" s="385">
        <v>0</v>
      </c>
      <c r="L22" s="513"/>
      <c r="M22" s="513"/>
      <c r="N22" s="445"/>
      <c r="O22" s="373" t="s">
        <v>292</v>
      </c>
      <c r="P22" s="374"/>
      <c r="Q22" s="374"/>
      <c r="R22" s="374"/>
      <c r="S22" s="374"/>
      <c r="T22" s="440"/>
      <c r="U22" s="375"/>
      <c r="V22" s="444"/>
    </row>
    <row r="23" spans="1:22" ht="15.4" thickBot="1">
      <c r="A23" s="444"/>
      <c r="B23" s="445"/>
      <c r="C23" s="454" t="s">
        <v>252</v>
      </c>
      <c r="D23" s="449"/>
      <c r="E23" s="445"/>
      <c r="F23" s="445"/>
      <c r="G23" s="445"/>
      <c r="H23" s="445"/>
      <c r="I23" s="445"/>
      <c r="J23" s="445"/>
      <c r="K23" s="445"/>
      <c r="L23" s="513"/>
      <c r="M23" s="513"/>
      <c r="N23" s="445"/>
      <c r="O23" s="448" t="s">
        <v>288</v>
      </c>
      <c r="P23" s="460">
        <v>0</v>
      </c>
      <c r="Q23" s="485">
        <f>+P23/P</f>
        <v>0</v>
      </c>
      <c r="R23" s="381"/>
      <c r="S23" s="381"/>
      <c r="T23" s="449"/>
      <c r="U23" s="463"/>
      <c r="V23" s="444"/>
    </row>
    <row r="24" spans="1:22" ht="15.4" thickBot="1">
      <c r="A24" s="444"/>
      <c r="B24" s="445"/>
      <c r="C24" s="448" t="s">
        <v>270</v>
      </c>
      <c r="D24" s="457">
        <f>+P*3%</f>
        <v>150000</v>
      </c>
      <c r="E24" s="445"/>
      <c r="F24" s="386" t="s">
        <v>427</v>
      </c>
      <c r="G24" s="387"/>
      <c r="H24" s="388"/>
      <c r="I24" s="375"/>
      <c r="J24" s="389" t="s">
        <v>330</v>
      </c>
      <c r="K24" s="390"/>
      <c r="L24" s="513"/>
      <c r="M24" s="513"/>
      <c r="N24" s="445"/>
      <c r="O24" s="448" t="s">
        <v>289</v>
      </c>
      <c r="P24" s="376">
        <v>0.06</v>
      </c>
      <c r="Q24" s="486" t="s">
        <v>230</v>
      </c>
      <c r="R24" s="376">
        <f>+R5</f>
        <v>2.5000000000000001E-3</v>
      </c>
      <c r="S24" s="381"/>
      <c r="T24" s="449"/>
      <c r="U24" s="463"/>
      <c r="V24" s="444"/>
    </row>
    <row r="25" spans="1:22" ht="13.15">
      <c r="A25" s="444"/>
      <c r="B25" s="445"/>
      <c r="C25" s="448" t="s">
        <v>218</v>
      </c>
      <c r="D25" s="393" t="s">
        <v>269</v>
      </c>
      <c r="E25" s="391"/>
      <c r="F25" s="543" t="s">
        <v>325</v>
      </c>
      <c r="G25" s="544"/>
      <c r="H25" s="392">
        <f ca="1">+Waterfall!D56</f>
        <v>6.2280685483455452E-2</v>
      </c>
      <c r="I25" s="445"/>
      <c r="J25" s="448" t="s">
        <v>331</v>
      </c>
      <c r="K25" s="464">
        <f ca="1">-SUM(Waterfall!AC8:AC11,Waterfall!AC13:AC14)+SUMIFS(Cashflow!$D$87:$N$87,Cashflow!$D$4:$N$4,"&lt;="&amp;H)</f>
        <v>386308.32880997454</v>
      </c>
      <c r="L25" s="513"/>
      <c r="M25" s="513"/>
      <c r="N25" s="445"/>
      <c r="O25" s="448" t="s">
        <v>287</v>
      </c>
      <c r="P25" s="486">
        <v>0</v>
      </c>
      <c r="Q25" s="381"/>
      <c r="R25" s="381"/>
      <c r="S25" s="381"/>
      <c r="T25" s="449"/>
      <c r="U25" s="463"/>
      <c r="V25" s="444"/>
    </row>
    <row r="26" spans="1:22" s="443" customFormat="1" ht="13.5" thickBot="1">
      <c r="A26" s="444"/>
      <c r="B26" s="453"/>
      <c r="C26" s="450" t="s">
        <v>219</v>
      </c>
      <c r="D26" s="394">
        <f ca="1">+EOMONTH(TODAY(),1)+1</f>
        <v>44409</v>
      </c>
      <c r="E26" s="453"/>
      <c r="F26" s="543" t="s">
        <v>326</v>
      </c>
      <c r="G26" s="544"/>
      <c r="H26" s="392">
        <f ca="1">+Waterfall!D57</f>
        <v>6.2280685483455452E-2</v>
      </c>
      <c r="I26" s="453"/>
      <c r="J26" s="465" t="s">
        <v>332</v>
      </c>
      <c r="K26" s="464">
        <f ca="1">Waterfall!AC97</f>
        <v>595469.5</v>
      </c>
      <c r="L26" s="513"/>
      <c r="M26" s="513"/>
      <c r="N26" s="453"/>
      <c r="O26" s="448" t="s">
        <v>291</v>
      </c>
      <c r="P26" s="486">
        <v>360</v>
      </c>
      <c r="Q26" s="381"/>
      <c r="R26" s="381"/>
      <c r="S26" s="381"/>
      <c r="T26" s="449"/>
      <c r="U26" s="463"/>
      <c r="V26" s="444"/>
    </row>
    <row r="27" spans="1:22" s="443" customFormat="1" ht="13.5" thickBot="1">
      <c r="A27" s="444"/>
      <c r="B27" s="453"/>
      <c r="E27" s="453"/>
      <c r="F27" s="543" t="s">
        <v>327</v>
      </c>
      <c r="G27" s="544"/>
      <c r="H27" s="395">
        <f ca="1">+Waterfall!D58</f>
        <v>1.864073072206593</v>
      </c>
      <c r="I27" s="453"/>
      <c r="J27" s="466" t="s">
        <v>333</v>
      </c>
      <c r="K27" s="467">
        <f ca="1">SUM(K25:K26)</f>
        <v>981777.82880997448</v>
      </c>
      <c r="L27" s="513"/>
      <c r="M27" s="513"/>
      <c r="N27" s="453"/>
      <c r="O27" s="450" t="s">
        <v>294</v>
      </c>
      <c r="P27" s="396">
        <f ca="1">+CDate</f>
        <v>44409</v>
      </c>
      <c r="Q27" s="468"/>
      <c r="R27" s="468"/>
      <c r="S27" s="468"/>
      <c r="T27" s="469"/>
      <c r="U27" s="463"/>
      <c r="V27" s="444"/>
    </row>
    <row r="28" spans="1:22" ht="13.15" thickBot="1">
      <c r="A28" s="444"/>
      <c r="B28" s="445"/>
      <c r="C28" s="445"/>
      <c r="D28" s="445"/>
      <c r="E28" s="445"/>
      <c r="F28" s="543" t="s">
        <v>328</v>
      </c>
      <c r="G28" s="544"/>
      <c r="H28" s="392">
        <f ca="1">+Waterfall!D59</f>
        <v>0.14131162762641908</v>
      </c>
      <c r="I28" s="445"/>
      <c r="J28" s="445"/>
      <c r="K28" s="445"/>
      <c r="L28" s="445"/>
      <c r="M28" s="445"/>
      <c r="N28" s="445"/>
      <c r="O28" s="445"/>
      <c r="P28" s="445"/>
      <c r="Q28" s="445"/>
      <c r="R28" s="445"/>
      <c r="S28" s="445"/>
      <c r="T28" s="445"/>
      <c r="U28" s="453"/>
      <c r="V28" s="444"/>
    </row>
    <row r="29" spans="1:22" ht="15.4" thickBot="1">
      <c r="A29" s="444"/>
      <c r="B29" s="445"/>
      <c r="C29" s="445"/>
      <c r="D29" s="445"/>
      <c r="E29" s="445"/>
      <c r="F29" s="545" t="s">
        <v>329</v>
      </c>
      <c r="G29" s="546"/>
      <c r="H29" s="397">
        <f ca="1">+Waterfall!D60</f>
        <v>0.10617019534111025</v>
      </c>
      <c r="I29" s="445"/>
      <c r="J29" s="445"/>
      <c r="K29" s="445"/>
      <c r="L29" s="445"/>
      <c r="M29" s="445"/>
      <c r="N29" s="445"/>
      <c r="O29" s="373" t="s">
        <v>286</v>
      </c>
      <c r="P29" s="374"/>
      <c r="Q29" s="374" t="s">
        <v>432</v>
      </c>
      <c r="R29" s="374" t="s">
        <v>433</v>
      </c>
      <c r="S29" s="374"/>
      <c r="T29" s="440"/>
      <c r="U29" s="375"/>
      <c r="V29" s="444"/>
    </row>
    <row r="30" spans="1:22">
      <c r="A30" s="444"/>
      <c r="B30" s="445"/>
      <c r="C30" s="445"/>
      <c r="D30" s="445"/>
      <c r="E30" s="445"/>
      <c r="F30" s="398"/>
      <c r="G30" s="445"/>
      <c r="H30" s="470"/>
      <c r="I30" s="445"/>
      <c r="J30" s="445"/>
      <c r="K30" s="445"/>
      <c r="L30" s="445"/>
      <c r="M30" s="445"/>
      <c r="N30" s="445"/>
      <c r="O30" s="448" t="s">
        <v>236</v>
      </c>
      <c r="P30" s="455">
        <f ca="1">-Waterfall!F55</f>
        <v>1386300</v>
      </c>
      <c r="Q30" s="471">
        <f t="shared" ref="Q30:Q35" ca="1" si="5">+P30/U</f>
        <v>34657.5</v>
      </c>
      <c r="R30" s="500">
        <f ca="1">+IF(P30/$P$36=0,"-",P30/$P$36)</f>
        <v>0.26990245896851817</v>
      </c>
      <c r="S30" s="381"/>
      <c r="T30" s="449"/>
      <c r="U30" s="463"/>
      <c r="V30" s="444"/>
    </row>
    <row r="31" spans="1:22">
      <c r="A31" s="444"/>
      <c r="B31" s="445"/>
      <c r="C31" s="445"/>
      <c r="D31" s="445"/>
      <c r="E31" s="445"/>
      <c r="F31" s="445"/>
      <c r="G31" s="445"/>
      <c r="H31" s="445"/>
      <c r="I31" s="445"/>
      <c r="J31" s="445"/>
      <c r="K31" s="445"/>
      <c r="L31" s="445"/>
      <c r="M31" s="445"/>
      <c r="N31" s="445"/>
      <c r="O31" s="448" t="s">
        <v>46</v>
      </c>
      <c r="P31" s="455">
        <f>+P4</f>
        <v>3750000</v>
      </c>
      <c r="Q31" s="471">
        <f t="shared" si="5"/>
        <v>93750</v>
      </c>
      <c r="R31" s="500">
        <f t="shared" ref="R31:R35" ca="1" si="6">+IF(P31/$P$36=0,"-",P31/$P$36)</f>
        <v>0.73009754103148183</v>
      </c>
      <c r="S31" s="381"/>
      <c r="T31" s="449"/>
      <c r="U31" s="463"/>
      <c r="V31" s="444"/>
    </row>
    <row r="32" spans="1:22">
      <c r="A32" s="444"/>
      <c r="B32" s="445"/>
      <c r="C32" s="445"/>
      <c r="D32" s="445"/>
      <c r="E32" s="445"/>
      <c r="F32" s="445"/>
      <c r="G32" s="445"/>
      <c r="H32" s="445"/>
      <c r="I32" s="445"/>
      <c r="J32" s="445"/>
      <c r="K32" s="445"/>
      <c r="L32" s="445"/>
      <c r="M32" s="445"/>
      <c r="N32" s="445"/>
      <c r="O32" s="448" t="s">
        <v>65</v>
      </c>
      <c r="P32" s="455">
        <f>+P23</f>
        <v>0</v>
      </c>
      <c r="Q32" s="471">
        <f t="shared" si="5"/>
        <v>0</v>
      </c>
      <c r="R32" s="500" t="str">
        <f t="shared" ca="1" si="6"/>
        <v>-</v>
      </c>
      <c r="S32" s="381"/>
      <c r="T32" s="449"/>
      <c r="U32" s="463"/>
      <c r="V32" s="444"/>
    </row>
    <row r="33" spans="1:22">
      <c r="A33" s="444"/>
      <c r="B33" s="445"/>
      <c r="C33" s="445"/>
      <c r="D33" s="445"/>
      <c r="E33" s="445"/>
      <c r="F33" s="445"/>
      <c r="G33" s="445"/>
      <c r="H33" s="445"/>
      <c r="I33" s="445"/>
      <c r="J33" s="445"/>
      <c r="K33" s="445"/>
      <c r="L33" s="445"/>
      <c r="M33" s="445"/>
      <c r="N33" s="445"/>
      <c r="O33" s="472" t="s">
        <v>237</v>
      </c>
      <c r="P33" s="473">
        <v>0</v>
      </c>
      <c r="Q33" s="471">
        <f t="shared" si="5"/>
        <v>0</v>
      </c>
      <c r="R33" s="500" t="str">
        <f t="shared" ca="1" si="6"/>
        <v>-</v>
      </c>
      <c r="S33" s="381"/>
      <c r="T33" s="451"/>
      <c r="U33" s="463"/>
      <c r="V33" s="444"/>
    </row>
    <row r="34" spans="1:22">
      <c r="A34" s="444"/>
      <c r="B34" s="445"/>
      <c r="C34" s="445"/>
      <c r="D34" s="445"/>
      <c r="E34" s="445"/>
      <c r="F34" s="445"/>
      <c r="G34" s="445"/>
      <c r="H34" s="445"/>
      <c r="I34" s="445"/>
      <c r="J34" s="445"/>
      <c r="K34" s="445"/>
      <c r="L34" s="445"/>
      <c r="M34" s="445"/>
      <c r="N34" s="445"/>
      <c r="O34" s="472" t="s">
        <v>238</v>
      </c>
      <c r="P34" s="473">
        <v>0</v>
      </c>
      <c r="Q34" s="471">
        <f t="shared" si="5"/>
        <v>0</v>
      </c>
      <c r="R34" s="500" t="str">
        <f t="shared" ca="1" si="6"/>
        <v>-</v>
      </c>
      <c r="S34" s="381"/>
      <c r="T34" s="451"/>
      <c r="U34" s="463"/>
      <c r="V34" s="444"/>
    </row>
    <row r="35" spans="1:22">
      <c r="A35" s="444"/>
      <c r="B35" s="445"/>
      <c r="C35" s="445"/>
      <c r="D35" s="445"/>
      <c r="E35" s="445"/>
      <c r="F35" s="445"/>
      <c r="G35" s="445"/>
      <c r="H35" s="445"/>
      <c r="I35" s="445"/>
      <c r="J35" s="445"/>
      <c r="K35" s="445"/>
      <c r="L35" s="445"/>
      <c r="M35" s="445"/>
      <c r="N35" s="445"/>
      <c r="O35" s="472" t="s">
        <v>239</v>
      </c>
      <c r="P35" s="473">
        <v>0</v>
      </c>
      <c r="Q35" s="471">
        <f t="shared" si="5"/>
        <v>0</v>
      </c>
      <c r="R35" s="500" t="str">
        <f t="shared" ca="1" si="6"/>
        <v>-</v>
      </c>
      <c r="S35" s="381"/>
      <c r="T35" s="449"/>
      <c r="U35" s="381"/>
      <c r="V35" s="444"/>
    </row>
    <row r="36" spans="1:22" ht="13.15">
      <c r="A36" s="444"/>
      <c r="B36" s="445"/>
      <c r="C36" s="445"/>
      <c r="D36" s="445"/>
      <c r="E36" s="445"/>
      <c r="F36" s="445"/>
      <c r="G36" s="445"/>
      <c r="H36" s="445"/>
      <c r="I36" s="445"/>
      <c r="J36" s="445"/>
      <c r="K36" s="445"/>
      <c r="L36" s="445"/>
      <c r="M36" s="445"/>
      <c r="N36" s="445"/>
      <c r="O36" s="474" t="s">
        <v>87</v>
      </c>
      <c r="P36" s="475">
        <f ca="1">+ROUND(SUM(P30:P35),0)</f>
        <v>5136300</v>
      </c>
      <c r="Q36" s="476">
        <f ca="1">+SUM(Q30:Q35)</f>
        <v>128407.5</v>
      </c>
      <c r="R36" s="477">
        <f ca="1">+SUM(R30:R35)</f>
        <v>1</v>
      </c>
      <c r="S36" s="381"/>
      <c r="T36" s="449"/>
      <c r="U36" s="381"/>
      <c r="V36" s="444"/>
    </row>
    <row r="37" spans="1:22">
      <c r="A37" s="444"/>
      <c r="B37" s="445"/>
      <c r="C37" s="445"/>
      <c r="D37" s="445"/>
      <c r="E37" s="445"/>
      <c r="F37" s="445"/>
      <c r="G37" s="445"/>
      <c r="H37" s="445"/>
      <c r="I37" s="445"/>
      <c r="J37" s="445"/>
      <c r="K37" s="445"/>
      <c r="L37" s="445"/>
      <c r="M37" s="445"/>
      <c r="N37" s="445"/>
      <c r="O37" s="448"/>
      <c r="P37" s="381"/>
      <c r="Q37" s="381"/>
      <c r="R37" s="381"/>
      <c r="S37" s="381"/>
      <c r="T37" s="449"/>
      <c r="U37" s="381"/>
      <c r="V37" s="444"/>
    </row>
    <row r="38" spans="1:22">
      <c r="A38" s="444"/>
      <c r="B38" s="445"/>
      <c r="C38" s="445"/>
      <c r="D38" s="445"/>
      <c r="E38" s="445"/>
      <c r="F38" s="445"/>
      <c r="G38" s="445"/>
      <c r="H38" s="445"/>
      <c r="I38" s="445"/>
      <c r="J38" s="445"/>
      <c r="K38" s="445"/>
      <c r="L38" s="445"/>
      <c r="M38" s="445"/>
      <c r="N38" s="445"/>
      <c r="O38" s="448" t="s">
        <v>56</v>
      </c>
      <c r="P38" s="455">
        <f>+P</f>
        <v>5000000</v>
      </c>
      <c r="Q38" s="471">
        <f t="shared" ref="Q38:Q43" si="7">+P38/U</f>
        <v>125000</v>
      </c>
      <c r="R38" s="500">
        <f ca="1">+IF(P38/$P$44=0,"-",P38/$P$44)</f>
        <v>0.97346338804197574</v>
      </c>
      <c r="S38" s="381"/>
      <c r="T38" s="449"/>
      <c r="U38" s="381"/>
      <c r="V38" s="444"/>
    </row>
    <row r="39" spans="1:22">
      <c r="A39" s="444"/>
      <c r="B39" s="445"/>
      <c r="C39" s="445"/>
      <c r="D39" s="445"/>
      <c r="E39" s="445"/>
      <c r="F39" s="445"/>
      <c r="G39" s="445"/>
      <c r="H39" s="445"/>
      <c r="I39" s="445"/>
      <c r="J39" s="445"/>
      <c r="K39" s="445"/>
      <c r="L39" s="445"/>
      <c r="M39" s="445"/>
      <c r="N39" s="445"/>
      <c r="O39" s="448" t="s">
        <v>240</v>
      </c>
      <c r="P39" s="455">
        <f>-SUM(Waterfall!F25,Waterfall!F26:F26)</f>
        <v>0</v>
      </c>
      <c r="Q39" s="471">
        <f t="shared" si="7"/>
        <v>0</v>
      </c>
      <c r="R39" s="500" t="str">
        <f ca="1">+IF(P39/$P$44=0,"-",P39/$P$44)</f>
        <v>-</v>
      </c>
      <c r="S39" s="381"/>
      <c r="T39" s="449"/>
      <c r="U39" s="381"/>
      <c r="V39" s="444"/>
    </row>
    <row r="40" spans="1:22">
      <c r="A40" s="444"/>
      <c r="B40" s="445"/>
      <c r="C40" s="445"/>
      <c r="D40" s="445"/>
      <c r="E40" s="445"/>
      <c r="F40" s="445"/>
      <c r="G40" s="445"/>
      <c r="H40" s="445"/>
      <c r="I40" s="445"/>
      <c r="J40" s="445"/>
      <c r="K40" s="445"/>
      <c r="L40" s="445"/>
      <c r="M40" s="445"/>
      <c r="N40" s="445"/>
      <c r="O40" s="448" t="s">
        <v>241</v>
      </c>
      <c r="P40" s="455">
        <f>-SUM(Waterfall!F17:F22,Waterfall!F27)</f>
        <v>63000</v>
      </c>
      <c r="Q40" s="471">
        <f t="shared" si="7"/>
        <v>1575</v>
      </c>
      <c r="R40" s="500">
        <f t="shared" ref="R40:R43" ca="1" si="8">+IF(P40/$P$44=0,"-",P40/$P$44)</f>
        <v>1.2265638689328895E-2</v>
      </c>
      <c r="S40" s="381"/>
      <c r="T40" s="449"/>
      <c r="U40" s="381"/>
      <c r="V40" s="444"/>
    </row>
    <row r="41" spans="1:22">
      <c r="A41" s="444"/>
      <c r="B41" s="445"/>
      <c r="C41" s="445"/>
      <c r="D41" s="445"/>
      <c r="E41" s="445"/>
      <c r="F41" s="445"/>
      <c r="G41" s="445"/>
      <c r="H41" s="445"/>
      <c r="I41" s="445"/>
      <c r="J41" s="445"/>
      <c r="K41" s="445"/>
      <c r="L41" s="445"/>
      <c r="M41" s="445"/>
      <c r="N41" s="445"/>
      <c r="O41" s="448" t="s">
        <v>244</v>
      </c>
      <c r="P41" s="455">
        <f ca="1">-SUM(Waterfall!F35:F36,Waterfall!F41:F42,Waterfall!F47:F48)</f>
        <v>22500</v>
      </c>
      <c r="Q41" s="471">
        <f t="shared" ca="1" si="7"/>
        <v>562.5</v>
      </c>
      <c r="R41" s="500">
        <f t="shared" ca="1" si="8"/>
        <v>4.3805852461888907E-3</v>
      </c>
      <c r="S41" s="381"/>
      <c r="T41" s="449"/>
      <c r="U41" s="381"/>
      <c r="V41" s="444"/>
    </row>
    <row r="42" spans="1:22">
      <c r="A42" s="444"/>
      <c r="B42" s="445"/>
      <c r="C42" s="445"/>
      <c r="D42" s="445"/>
      <c r="E42" s="445"/>
      <c r="F42" s="445"/>
      <c r="G42" s="445"/>
      <c r="H42" s="445"/>
      <c r="I42" s="445"/>
      <c r="J42" s="445"/>
      <c r="K42" s="445"/>
      <c r="L42" s="445"/>
      <c r="M42" s="445"/>
      <c r="N42" s="445"/>
      <c r="O42" s="448" t="s">
        <v>242</v>
      </c>
      <c r="P42" s="455">
        <f ca="1">-SUM(Waterfall!F8:F11,Waterfall!F13:F14)</f>
        <v>50800</v>
      </c>
      <c r="Q42" s="471">
        <f t="shared" ca="1" si="7"/>
        <v>1270</v>
      </c>
      <c r="R42" s="500">
        <f t="shared" ca="1" si="8"/>
        <v>9.8903880225064741E-3</v>
      </c>
      <c r="S42" s="381"/>
      <c r="T42" s="449"/>
      <c r="U42" s="381"/>
      <c r="V42" s="444"/>
    </row>
    <row r="43" spans="1:22">
      <c r="A43" s="444"/>
      <c r="B43" s="445"/>
      <c r="C43" s="445"/>
      <c r="D43" s="445"/>
      <c r="E43" s="445"/>
      <c r="F43" s="445"/>
      <c r="G43" s="445"/>
      <c r="H43" s="445"/>
      <c r="I43" s="445"/>
      <c r="J43" s="445"/>
      <c r="K43" s="445"/>
      <c r="L43" s="445"/>
      <c r="M43" s="445"/>
      <c r="N43" s="445"/>
      <c r="O43" s="448" t="s">
        <v>243</v>
      </c>
      <c r="P43" s="455"/>
      <c r="Q43" s="471">
        <f t="shared" si="7"/>
        <v>0</v>
      </c>
      <c r="R43" s="500" t="str">
        <f t="shared" ca="1" si="8"/>
        <v>-</v>
      </c>
      <c r="S43" s="381"/>
      <c r="T43" s="449"/>
      <c r="U43" s="381"/>
      <c r="V43" s="444"/>
    </row>
    <row r="44" spans="1:22" ht="13.15">
      <c r="A44" s="444"/>
      <c r="B44" s="445"/>
      <c r="C44" s="445"/>
      <c r="D44" s="445"/>
      <c r="E44" s="445"/>
      <c r="F44" s="445"/>
      <c r="G44" s="445"/>
      <c r="H44" s="445"/>
      <c r="I44" s="445"/>
      <c r="J44" s="445"/>
      <c r="K44" s="445"/>
      <c r="L44" s="445"/>
      <c r="M44" s="445"/>
      <c r="N44" s="445"/>
      <c r="O44" s="474" t="s">
        <v>87</v>
      </c>
      <c r="P44" s="475">
        <f ca="1">+ROUND(SUM(P38:P43),0)</f>
        <v>5136300</v>
      </c>
      <c r="Q44" s="476">
        <f ca="1">+SUM(Q38:Q43)</f>
        <v>128407.5</v>
      </c>
      <c r="R44" s="477">
        <f ca="1">+SUM(R38:R43)</f>
        <v>1</v>
      </c>
      <c r="S44" s="381"/>
      <c r="T44" s="449"/>
      <c r="U44" s="381"/>
      <c r="V44" s="444"/>
    </row>
    <row r="45" spans="1:22" ht="13.15" thickBot="1">
      <c r="A45" s="444"/>
      <c r="B45" s="445"/>
      <c r="C45" s="445"/>
      <c r="D45" s="445"/>
      <c r="E45" s="445"/>
      <c r="F45" s="445"/>
      <c r="G45" s="445"/>
      <c r="H45" s="445"/>
      <c r="I45" s="445"/>
      <c r="J45" s="445"/>
      <c r="K45" s="445"/>
      <c r="L45" s="445"/>
      <c r="M45" s="445"/>
      <c r="N45" s="445"/>
      <c r="O45" s="450"/>
      <c r="P45" s="478">
        <f ca="1">+P36-P44</f>
        <v>0</v>
      </c>
      <c r="Q45" s="384"/>
      <c r="R45" s="384"/>
      <c r="S45" s="384"/>
      <c r="T45" s="479"/>
      <c r="U45" s="381"/>
      <c r="V45" s="444"/>
    </row>
    <row r="46" spans="1:22">
      <c r="A46" s="444"/>
      <c r="B46" s="445"/>
      <c r="C46" s="445"/>
      <c r="D46" s="445"/>
      <c r="E46" s="445"/>
      <c r="F46" s="445"/>
      <c r="G46" s="445"/>
      <c r="H46" s="445"/>
      <c r="I46" s="445"/>
      <c r="J46" s="445"/>
      <c r="K46" s="445"/>
      <c r="L46" s="445"/>
      <c r="M46" s="445"/>
      <c r="N46" s="445"/>
      <c r="O46" s="445"/>
      <c r="P46" s="445"/>
      <c r="Q46" s="445"/>
      <c r="R46" s="445"/>
      <c r="S46" s="445"/>
      <c r="T46" s="445"/>
      <c r="U46" s="445"/>
      <c r="V46" s="444"/>
    </row>
    <row r="47" spans="1:22">
      <c r="A47" s="480" t="s">
        <v>383</v>
      </c>
      <c r="B47" s="444"/>
      <c r="C47" s="444"/>
      <c r="D47" s="444"/>
      <c r="E47" s="444"/>
      <c r="F47" s="444"/>
      <c r="G47" s="444"/>
      <c r="H47" s="444"/>
      <c r="I47" s="444"/>
      <c r="J47" s="444"/>
      <c r="K47" s="444"/>
      <c r="L47" s="444"/>
      <c r="M47" s="444"/>
      <c r="N47" s="444"/>
      <c r="O47" s="444"/>
      <c r="P47" s="444"/>
      <c r="Q47" s="444"/>
      <c r="R47" s="444"/>
      <c r="S47" s="444"/>
      <c r="T47" s="444"/>
      <c r="U47" s="444"/>
      <c r="V47" s="444"/>
    </row>
    <row r="48" spans="1:22">
      <c r="A48" s="445"/>
      <c r="B48" s="445"/>
      <c r="C48" s="445"/>
      <c r="D48" s="445"/>
      <c r="E48" s="445"/>
      <c r="F48" s="445"/>
      <c r="G48" s="445"/>
      <c r="H48" s="445"/>
      <c r="I48" s="445"/>
      <c r="J48" s="445"/>
      <c r="K48" s="445"/>
      <c r="L48" s="445"/>
      <c r="M48" s="445"/>
      <c r="N48" s="445"/>
      <c r="O48" s="445"/>
      <c r="P48" s="445"/>
      <c r="Q48" s="445"/>
      <c r="R48" s="445"/>
      <c r="S48" s="445"/>
      <c r="T48" s="445"/>
      <c r="U48" s="445"/>
      <c r="V48" s="445"/>
    </row>
    <row r="49" spans="1:22">
      <c r="A49" s="445"/>
      <c r="B49" s="445"/>
      <c r="C49" s="445"/>
      <c r="D49" s="445"/>
      <c r="E49" s="445"/>
      <c r="F49" s="445"/>
      <c r="G49" s="445"/>
      <c r="H49" s="445"/>
      <c r="I49" s="445"/>
      <c r="J49" s="445"/>
      <c r="K49" s="445"/>
      <c r="L49" s="445"/>
      <c r="M49" s="445"/>
      <c r="N49" s="445"/>
      <c r="O49" s="445"/>
      <c r="P49" s="445"/>
      <c r="Q49" s="445"/>
      <c r="R49" s="445"/>
      <c r="S49" s="445"/>
      <c r="T49" s="445"/>
      <c r="U49" s="445"/>
      <c r="V49" s="445"/>
    </row>
    <row r="50" spans="1:22">
      <c r="A50" s="445"/>
      <c r="B50" s="445"/>
      <c r="C50" s="445"/>
      <c r="D50" s="445"/>
      <c r="E50" s="445"/>
      <c r="F50" s="445"/>
      <c r="G50" s="445"/>
      <c r="H50" s="445"/>
      <c r="I50" s="445"/>
      <c r="J50" s="445"/>
      <c r="K50" s="445"/>
      <c r="L50" s="445"/>
      <c r="M50" s="445"/>
      <c r="N50" s="445"/>
      <c r="O50" s="445"/>
      <c r="P50" s="445"/>
      <c r="Q50" s="445"/>
      <c r="R50" s="445"/>
      <c r="S50" s="445"/>
      <c r="T50" s="445"/>
      <c r="U50" s="445"/>
      <c r="V50" s="445"/>
    </row>
    <row r="51" spans="1:22">
      <c r="A51" s="445"/>
      <c r="B51" s="445"/>
      <c r="C51" s="445"/>
      <c r="D51" s="445"/>
      <c r="E51" s="445"/>
      <c r="F51" s="445"/>
      <c r="G51" s="445"/>
      <c r="H51" s="445"/>
      <c r="I51" s="445"/>
      <c r="J51" s="445"/>
      <c r="K51" s="445"/>
      <c r="L51" s="445"/>
      <c r="M51" s="445"/>
      <c r="N51" s="445"/>
      <c r="O51" s="445"/>
      <c r="P51" s="445"/>
      <c r="Q51" s="445"/>
      <c r="R51" s="445"/>
      <c r="S51" s="445"/>
      <c r="T51" s="445"/>
      <c r="U51" s="445"/>
      <c r="V51" s="445"/>
    </row>
    <row r="52" spans="1:22">
      <c r="A52" s="445"/>
      <c r="B52" s="445"/>
      <c r="C52" s="445"/>
      <c r="D52" s="445"/>
      <c r="E52" s="445"/>
      <c r="F52" s="445"/>
      <c r="G52" s="445"/>
      <c r="H52" s="445"/>
      <c r="I52" s="445"/>
      <c r="J52" s="445"/>
      <c r="K52" s="445"/>
      <c r="L52" s="445"/>
      <c r="M52" s="445"/>
      <c r="N52" s="445"/>
      <c r="O52" s="445"/>
      <c r="P52" s="445"/>
      <c r="Q52" s="445"/>
      <c r="R52" s="445"/>
      <c r="S52" s="445"/>
      <c r="T52" s="445"/>
      <c r="U52" s="445"/>
      <c r="V52" s="445"/>
    </row>
    <row r="53" spans="1:22">
      <c r="A53" s="445"/>
      <c r="B53" s="445"/>
      <c r="C53" s="445"/>
      <c r="D53" s="445"/>
      <c r="E53" s="445"/>
      <c r="F53" s="445"/>
      <c r="G53" s="445"/>
      <c r="H53" s="445"/>
      <c r="I53" s="445"/>
      <c r="J53" s="445"/>
      <c r="K53" s="445"/>
      <c r="L53" s="445"/>
      <c r="M53" s="445"/>
      <c r="N53" s="445"/>
      <c r="O53" s="445"/>
      <c r="P53" s="445"/>
      <c r="Q53" s="445"/>
      <c r="R53" s="445"/>
      <c r="S53" s="445"/>
      <c r="T53" s="445"/>
      <c r="U53" s="445"/>
      <c r="V53" s="445"/>
    </row>
    <row r="54" spans="1:22">
      <c r="A54" s="445"/>
      <c r="B54" s="445"/>
      <c r="C54" s="445"/>
      <c r="D54" s="445"/>
      <c r="E54" s="445"/>
      <c r="F54" s="445"/>
      <c r="G54" s="445"/>
      <c r="H54" s="445"/>
      <c r="I54" s="445"/>
      <c r="J54" s="445"/>
      <c r="K54" s="445"/>
      <c r="L54" s="445"/>
      <c r="M54" s="445"/>
      <c r="N54" s="445"/>
      <c r="O54" s="445"/>
      <c r="P54" s="445"/>
      <c r="Q54" s="445"/>
      <c r="R54" s="445"/>
      <c r="S54" s="445"/>
      <c r="T54" s="445"/>
      <c r="U54" s="445"/>
      <c r="V54" s="445"/>
    </row>
    <row r="55" spans="1:22">
      <c r="A55" s="445"/>
      <c r="B55" s="445"/>
      <c r="C55" s="445"/>
      <c r="D55" s="445"/>
      <c r="E55" s="445"/>
      <c r="F55" s="445"/>
      <c r="G55" s="445"/>
      <c r="H55" s="445"/>
      <c r="I55" s="445"/>
      <c r="J55" s="445"/>
      <c r="K55" s="445"/>
      <c r="L55" s="445"/>
      <c r="M55" s="445"/>
      <c r="N55" s="445"/>
      <c r="O55" s="445"/>
      <c r="P55" s="445"/>
      <c r="Q55" s="445"/>
      <c r="R55" s="445"/>
      <c r="S55" s="445"/>
      <c r="T55" s="445"/>
      <c r="U55" s="445"/>
      <c r="V55" s="445"/>
    </row>
    <row r="56" spans="1:22">
      <c r="A56" s="445"/>
      <c r="B56" s="445"/>
      <c r="C56" s="445"/>
      <c r="D56" s="445"/>
      <c r="E56" s="445"/>
      <c r="F56" s="445"/>
      <c r="G56" s="445"/>
      <c r="H56" s="445"/>
      <c r="I56" s="445"/>
      <c r="J56" s="445"/>
      <c r="K56" s="445"/>
      <c r="L56" s="445"/>
      <c r="M56" s="445"/>
      <c r="N56" s="445"/>
      <c r="O56" s="445"/>
      <c r="P56" s="445"/>
      <c r="Q56" s="445"/>
      <c r="R56" s="445"/>
      <c r="S56" s="445"/>
      <c r="T56" s="445"/>
      <c r="U56" s="445"/>
      <c r="V56" s="445"/>
    </row>
    <row r="57" spans="1:22">
      <c r="A57" s="445"/>
      <c r="B57" s="445"/>
      <c r="C57" s="445"/>
      <c r="D57" s="445"/>
      <c r="E57" s="445"/>
      <c r="F57" s="445"/>
      <c r="G57" s="445"/>
      <c r="H57" s="445"/>
      <c r="I57" s="445"/>
      <c r="J57" s="445"/>
      <c r="K57" s="445"/>
      <c r="L57" s="445"/>
      <c r="M57" s="445"/>
      <c r="N57" s="445"/>
      <c r="O57" s="445"/>
      <c r="P57" s="445"/>
      <c r="Q57" s="445"/>
      <c r="R57" s="445"/>
      <c r="S57" s="445"/>
      <c r="T57" s="445"/>
      <c r="U57" s="445"/>
      <c r="V57" s="445"/>
    </row>
    <row r="58" spans="1:22">
      <c r="A58" s="445"/>
      <c r="B58" s="445"/>
      <c r="C58" s="445"/>
      <c r="D58" s="445"/>
      <c r="E58" s="445"/>
      <c r="F58" s="445"/>
      <c r="G58" s="445"/>
      <c r="H58" s="445"/>
      <c r="I58" s="445"/>
      <c r="J58" s="445"/>
      <c r="K58" s="445"/>
      <c r="L58" s="445"/>
      <c r="M58" s="445"/>
      <c r="N58" s="445"/>
      <c r="O58" s="445"/>
      <c r="P58" s="445"/>
      <c r="Q58" s="445"/>
      <c r="R58" s="445"/>
      <c r="S58" s="445"/>
      <c r="T58" s="445"/>
      <c r="U58" s="445"/>
      <c r="V58" s="445"/>
    </row>
    <row r="59" spans="1:22">
      <c r="A59" s="445"/>
      <c r="B59" s="445"/>
      <c r="C59" s="445"/>
      <c r="D59" s="445"/>
      <c r="E59" s="445"/>
      <c r="F59" s="445"/>
      <c r="G59" s="445"/>
      <c r="H59" s="445"/>
      <c r="I59" s="445"/>
      <c r="J59" s="445"/>
      <c r="K59" s="445"/>
      <c r="L59" s="445"/>
      <c r="M59" s="445"/>
      <c r="N59" s="445"/>
      <c r="O59" s="445"/>
      <c r="P59" s="445"/>
      <c r="Q59" s="445"/>
      <c r="R59" s="445"/>
      <c r="S59" s="445"/>
      <c r="T59" s="445"/>
      <c r="U59" s="445"/>
      <c r="V59" s="445"/>
    </row>
    <row r="60" spans="1:22">
      <c r="A60" s="445"/>
      <c r="B60" s="445"/>
      <c r="C60" s="445"/>
      <c r="D60" s="445"/>
      <c r="E60" s="445"/>
      <c r="F60" s="445"/>
      <c r="G60" s="445"/>
      <c r="H60" s="445"/>
      <c r="I60" s="445"/>
      <c r="J60" s="445"/>
      <c r="K60" s="445"/>
      <c r="L60" s="445"/>
      <c r="M60" s="445"/>
      <c r="N60" s="445"/>
      <c r="O60" s="445"/>
      <c r="P60" s="445"/>
      <c r="Q60" s="445"/>
      <c r="R60" s="445"/>
      <c r="S60" s="445"/>
      <c r="T60" s="445"/>
      <c r="U60" s="445"/>
      <c r="V60" s="445"/>
    </row>
    <row r="61" spans="1:22">
      <c r="A61" s="445"/>
      <c r="B61" s="445"/>
      <c r="C61" s="445"/>
      <c r="D61" s="445"/>
      <c r="E61" s="445"/>
      <c r="F61" s="445"/>
      <c r="G61" s="445"/>
      <c r="H61" s="445"/>
      <c r="I61" s="445"/>
      <c r="J61" s="445"/>
      <c r="K61" s="445"/>
      <c r="L61" s="445"/>
      <c r="M61" s="445"/>
      <c r="N61" s="445"/>
      <c r="O61" s="445"/>
      <c r="P61" s="445"/>
      <c r="Q61" s="445"/>
      <c r="R61" s="445"/>
      <c r="S61" s="445"/>
      <c r="T61" s="445"/>
      <c r="U61" s="445"/>
      <c r="V61" s="445"/>
    </row>
    <row r="62" spans="1:22">
      <c r="A62" s="445"/>
      <c r="B62" s="445"/>
      <c r="C62" s="445"/>
      <c r="D62" s="445"/>
      <c r="E62" s="445"/>
      <c r="F62" s="445"/>
      <c r="G62" s="445"/>
      <c r="H62" s="445"/>
      <c r="I62" s="445"/>
      <c r="J62" s="445"/>
      <c r="K62" s="445"/>
      <c r="L62" s="445"/>
      <c r="M62" s="445"/>
      <c r="N62" s="445"/>
      <c r="O62" s="445"/>
      <c r="P62" s="445"/>
      <c r="Q62" s="445"/>
      <c r="R62" s="445"/>
      <c r="S62" s="445"/>
      <c r="T62" s="445"/>
      <c r="U62" s="445"/>
      <c r="V62" s="445"/>
    </row>
    <row r="63" spans="1:22">
      <c r="A63" s="445"/>
      <c r="B63" s="445"/>
      <c r="C63" s="445"/>
      <c r="D63" s="445"/>
      <c r="E63" s="445"/>
      <c r="F63" s="445"/>
      <c r="G63" s="445"/>
      <c r="H63" s="445"/>
      <c r="I63" s="445"/>
      <c r="J63" s="445"/>
      <c r="K63" s="445"/>
      <c r="L63" s="445"/>
      <c r="M63" s="445"/>
      <c r="N63" s="445"/>
      <c r="O63" s="445"/>
      <c r="P63" s="445"/>
      <c r="Q63" s="445"/>
      <c r="R63" s="445"/>
      <c r="S63" s="445"/>
      <c r="T63" s="445"/>
      <c r="U63" s="445"/>
      <c r="V63" s="445"/>
    </row>
    <row r="64" spans="1:22">
      <c r="A64" s="445"/>
      <c r="B64" s="445"/>
      <c r="C64" s="445"/>
      <c r="D64" s="445"/>
      <c r="E64" s="445"/>
      <c r="F64" s="445"/>
      <c r="G64" s="445"/>
      <c r="H64" s="445"/>
      <c r="I64" s="445"/>
      <c r="J64" s="445"/>
      <c r="K64" s="445"/>
      <c r="L64" s="445"/>
      <c r="M64" s="445"/>
      <c r="N64" s="445"/>
      <c r="O64" s="445"/>
      <c r="P64" s="445"/>
      <c r="Q64" s="445"/>
      <c r="R64" s="445"/>
      <c r="S64" s="445"/>
      <c r="T64" s="445"/>
      <c r="U64" s="445"/>
      <c r="V64" s="445"/>
    </row>
    <row r="65" spans="1:22">
      <c r="A65" s="445"/>
      <c r="B65" s="445"/>
      <c r="C65" s="445"/>
      <c r="D65" s="445"/>
      <c r="E65" s="445"/>
      <c r="F65" s="445"/>
      <c r="G65" s="445"/>
      <c r="H65" s="445"/>
      <c r="I65" s="445"/>
      <c r="J65" s="445"/>
      <c r="K65" s="445"/>
      <c r="L65" s="445"/>
      <c r="M65" s="445"/>
      <c r="N65" s="445"/>
      <c r="O65" s="445"/>
      <c r="P65" s="445"/>
      <c r="Q65" s="445"/>
      <c r="R65" s="445"/>
      <c r="S65" s="445"/>
      <c r="T65" s="445"/>
      <c r="U65" s="445"/>
      <c r="V65" s="445"/>
    </row>
    <row r="66" spans="1:22">
      <c r="A66" s="445"/>
      <c r="B66" s="445"/>
      <c r="C66" s="445"/>
      <c r="D66" s="445"/>
      <c r="E66" s="445"/>
      <c r="F66" s="445"/>
      <c r="G66" s="445"/>
      <c r="H66" s="445"/>
      <c r="I66" s="445"/>
      <c r="J66" s="445"/>
      <c r="K66" s="445"/>
      <c r="L66" s="445"/>
      <c r="M66" s="445"/>
      <c r="N66" s="445"/>
      <c r="O66" s="445"/>
      <c r="P66" s="445"/>
      <c r="Q66" s="445"/>
      <c r="R66" s="445"/>
      <c r="S66" s="445"/>
      <c r="T66" s="445"/>
      <c r="U66" s="445"/>
      <c r="V66" s="445"/>
    </row>
    <row r="67" spans="1:22">
      <c r="A67" s="445"/>
      <c r="B67" s="445"/>
      <c r="C67" s="445"/>
      <c r="D67" s="445"/>
      <c r="E67" s="445"/>
      <c r="F67" s="445"/>
      <c r="G67" s="445"/>
      <c r="H67" s="445"/>
      <c r="I67" s="445"/>
      <c r="J67" s="445"/>
      <c r="K67" s="445"/>
      <c r="L67" s="445"/>
      <c r="M67" s="445"/>
      <c r="N67" s="445"/>
      <c r="O67" s="445"/>
      <c r="P67" s="445"/>
      <c r="Q67" s="445"/>
      <c r="R67" s="445"/>
      <c r="S67" s="445"/>
      <c r="T67" s="445"/>
      <c r="U67" s="445"/>
      <c r="V67" s="445"/>
    </row>
    <row r="68" spans="1:22">
      <c r="A68" s="445"/>
      <c r="B68" s="445"/>
      <c r="C68" s="445"/>
      <c r="D68" s="445"/>
      <c r="E68" s="445"/>
      <c r="F68" s="445"/>
      <c r="G68" s="445"/>
      <c r="H68" s="445"/>
      <c r="I68" s="445"/>
      <c r="J68" s="445"/>
      <c r="K68" s="445"/>
      <c r="L68" s="445"/>
      <c r="M68" s="445"/>
      <c r="N68" s="445"/>
      <c r="O68" s="445"/>
      <c r="P68" s="445"/>
      <c r="Q68" s="445"/>
      <c r="R68" s="445"/>
      <c r="S68" s="445"/>
      <c r="T68" s="445"/>
      <c r="U68" s="445"/>
      <c r="V68" s="445"/>
    </row>
    <row r="69" spans="1:22">
      <c r="A69" s="445"/>
      <c r="B69" s="445"/>
      <c r="C69" s="445"/>
      <c r="D69" s="445"/>
      <c r="E69" s="445"/>
      <c r="F69" s="445"/>
      <c r="G69" s="445"/>
      <c r="H69" s="445"/>
      <c r="I69" s="445"/>
      <c r="J69" s="445"/>
      <c r="K69" s="445"/>
      <c r="L69" s="445"/>
      <c r="M69" s="445"/>
      <c r="N69" s="445"/>
      <c r="O69" s="445"/>
      <c r="P69" s="445"/>
      <c r="Q69" s="445"/>
      <c r="R69" s="445"/>
      <c r="S69" s="445"/>
      <c r="T69" s="445"/>
      <c r="U69" s="445"/>
      <c r="V69" s="445"/>
    </row>
    <row r="70" spans="1:22">
      <c r="A70" s="445"/>
      <c r="B70" s="445"/>
      <c r="C70" s="445"/>
      <c r="D70" s="445"/>
      <c r="E70" s="445"/>
      <c r="F70" s="445"/>
      <c r="G70" s="445"/>
      <c r="H70" s="445"/>
      <c r="I70" s="445"/>
      <c r="J70" s="445"/>
      <c r="K70" s="445"/>
      <c r="L70" s="445"/>
      <c r="M70" s="445"/>
      <c r="N70" s="445"/>
      <c r="O70" s="445"/>
      <c r="P70" s="445"/>
      <c r="Q70" s="445"/>
      <c r="R70" s="445"/>
      <c r="S70" s="445"/>
      <c r="T70" s="445"/>
      <c r="U70" s="445"/>
      <c r="V70" s="445"/>
    </row>
    <row r="71" spans="1:22">
      <c r="A71" s="445"/>
      <c r="B71" s="445"/>
      <c r="C71" s="445"/>
      <c r="D71" s="445"/>
      <c r="E71" s="445"/>
      <c r="F71" s="445"/>
      <c r="G71" s="445"/>
      <c r="H71" s="445"/>
      <c r="I71" s="445"/>
      <c r="J71" s="445"/>
      <c r="K71" s="445"/>
      <c r="L71" s="445"/>
      <c r="M71" s="445"/>
      <c r="N71" s="445"/>
      <c r="O71" s="445"/>
      <c r="P71" s="445"/>
      <c r="Q71" s="445"/>
      <c r="R71" s="445"/>
      <c r="S71" s="445"/>
      <c r="T71" s="445"/>
      <c r="U71" s="445"/>
      <c r="V71" s="445"/>
    </row>
    <row r="72" spans="1:22">
      <c r="A72" s="445"/>
      <c r="B72" s="445"/>
      <c r="C72" s="445"/>
      <c r="D72" s="445"/>
      <c r="E72" s="445"/>
      <c r="F72" s="445"/>
      <c r="G72" s="445"/>
      <c r="H72" s="445"/>
      <c r="I72" s="445"/>
      <c r="J72" s="445"/>
      <c r="K72" s="445"/>
      <c r="L72" s="445"/>
      <c r="M72" s="445"/>
      <c r="N72" s="445"/>
      <c r="O72" s="445"/>
      <c r="P72" s="445"/>
      <c r="Q72" s="445"/>
      <c r="R72" s="445"/>
      <c r="S72" s="445"/>
      <c r="T72" s="445"/>
      <c r="U72" s="445"/>
      <c r="V72" s="445"/>
    </row>
    <row r="73" spans="1:22">
      <c r="A73" s="445"/>
      <c r="B73" s="445"/>
      <c r="C73" s="445"/>
      <c r="D73" s="445"/>
      <c r="E73" s="445"/>
      <c r="F73" s="445"/>
      <c r="G73" s="445"/>
      <c r="H73" s="445"/>
      <c r="I73" s="445"/>
      <c r="J73" s="445"/>
      <c r="K73" s="445"/>
      <c r="L73" s="445"/>
      <c r="M73" s="445"/>
      <c r="N73" s="445"/>
      <c r="O73" s="445"/>
      <c r="P73" s="445"/>
      <c r="Q73" s="445"/>
      <c r="R73" s="445"/>
      <c r="S73" s="445"/>
      <c r="T73" s="445"/>
      <c r="U73" s="445"/>
      <c r="V73" s="445"/>
    </row>
    <row r="74" spans="1:22">
      <c r="A74" s="445"/>
      <c r="B74" s="445"/>
      <c r="C74" s="445"/>
      <c r="D74" s="445"/>
      <c r="E74" s="445"/>
      <c r="F74" s="445"/>
      <c r="G74" s="445"/>
      <c r="H74" s="445"/>
      <c r="I74" s="445"/>
      <c r="J74" s="445"/>
      <c r="K74" s="445"/>
      <c r="L74" s="445"/>
      <c r="M74" s="445"/>
      <c r="N74" s="445"/>
      <c r="O74" s="445"/>
      <c r="P74" s="445"/>
      <c r="Q74" s="445"/>
      <c r="R74" s="445"/>
      <c r="S74" s="445"/>
      <c r="T74" s="445"/>
      <c r="U74" s="445"/>
      <c r="V74" s="445"/>
    </row>
    <row r="75" spans="1:22">
      <c r="A75" s="445"/>
      <c r="B75" s="445"/>
      <c r="C75" s="445"/>
      <c r="D75" s="445"/>
      <c r="E75" s="445"/>
      <c r="F75" s="445"/>
      <c r="G75" s="445"/>
      <c r="H75" s="445"/>
      <c r="I75" s="445"/>
      <c r="J75" s="445"/>
      <c r="K75" s="445"/>
      <c r="L75" s="445"/>
      <c r="M75" s="445"/>
      <c r="N75" s="445"/>
      <c r="O75" s="445"/>
      <c r="P75" s="445"/>
      <c r="Q75" s="445"/>
      <c r="R75" s="445"/>
      <c r="S75" s="445"/>
      <c r="T75" s="445"/>
      <c r="U75" s="445"/>
      <c r="V75" s="445"/>
    </row>
    <row r="76" spans="1:22">
      <c r="A76" s="445"/>
      <c r="B76" s="445"/>
      <c r="C76" s="445"/>
      <c r="D76" s="445"/>
      <c r="E76" s="445"/>
      <c r="F76" s="445"/>
      <c r="G76" s="445"/>
      <c r="H76" s="445"/>
      <c r="I76" s="445"/>
      <c r="J76" s="445"/>
      <c r="K76" s="445"/>
      <c r="L76" s="445"/>
      <c r="M76" s="445"/>
      <c r="N76" s="445"/>
      <c r="O76" s="445"/>
      <c r="P76" s="445"/>
      <c r="Q76" s="445"/>
      <c r="R76" s="445"/>
      <c r="S76" s="445"/>
      <c r="T76" s="445"/>
      <c r="U76" s="445"/>
      <c r="V76" s="445"/>
    </row>
    <row r="77" spans="1:22">
      <c r="A77" s="445"/>
      <c r="B77" s="445"/>
      <c r="C77" s="445"/>
      <c r="D77" s="445"/>
      <c r="E77" s="445"/>
      <c r="F77" s="445"/>
      <c r="G77" s="445"/>
      <c r="H77" s="445"/>
      <c r="I77" s="445"/>
      <c r="J77" s="445"/>
      <c r="K77" s="445"/>
      <c r="L77" s="445"/>
      <c r="M77" s="445"/>
      <c r="N77" s="445"/>
      <c r="O77" s="445"/>
      <c r="P77" s="445"/>
      <c r="Q77" s="445"/>
      <c r="R77" s="445"/>
      <c r="S77" s="445"/>
      <c r="T77" s="445"/>
      <c r="U77" s="445"/>
      <c r="V77" s="445"/>
    </row>
    <row r="78" spans="1:22">
      <c r="A78" s="445"/>
      <c r="B78" s="445"/>
      <c r="C78" s="445"/>
      <c r="D78" s="445"/>
      <c r="E78" s="445"/>
      <c r="F78" s="445"/>
      <c r="G78" s="445"/>
      <c r="H78" s="445"/>
      <c r="I78" s="445"/>
      <c r="J78" s="445"/>
      <c r="K78" s="445"/>
      <c r="L78" s="445"/>
      <c r="M78" s="445"/>
      <c r="N78" s="445"/>
      <c r="O78" s="445"/>
      <c r="P78" s="445"/>
      <c r="Q78" s="445"/>
      <c r="R78" s="445"/>
      <c r="S78" s="445"/>
      <c r="T78" s="445"/>
      <c r="U78" s="445"/>
      <c r="V78" s="445"/>
    </row>
    <row r="79" spans="1:22">
      <c r="A79" s="445"/>
      <c r="B79" s="445"/>
      <c r="C79" s="445"/>
      <c r="D79" s="445"/>
      <c r="E79" s="445"/>
      <c r="F79" s="445"/>
      <c r="G79" s="445"/>
      <c r="H79" s="445"/>
      <c r="I79" s="445"/>
      <c r="J79" s="445"/>
      <c r="K79" s="445"/>
      <c r="L79" s="445"/>
      <c r="M79" s="445"/>
      <c r="N79" s="445"/>
      <c r="O79" s="445"/>
      <c r="P79" s="445"/>
      <c r="Q79" s="445"/>
      <c r="R79" s="445"/>
      <c r="S79" s="445"/>
      <c r="T79" s="445"/>
      <c r="U79" s="445"/>
      <c r="V79" s="445"/>
    </row>
    <row r="80" spans="1:22">
      <c r="A80" s="445"/>
      <c r="B80" s="445"/>
      <c r="C80" s="445"/>
      <c r="D80" s="445"/>
      <c r="E80" s="445"/>
      <c r="F80" s="445"/>
      <c r="G80" s="445"/>
      <c r="H80" s="445"/>
      <c r="I80" s="445"/>
      <c r="J80" s="445"/>
      <c r="K80" s="445"/>
      <c r="L80" s="445"/>
      <c r="M80" s="445"/>
      <c r="N80" s="445"/>
      <c r="O80" s="445"/>
      <c r="P80" s="445"/>
      <c r="Q80" s="445"/>
      <c r="R80" s="445"/>
      <c r="S80" s="445"/>
      <c r="T80" s="445"/>
      <c r="U80" s="445"/>
      <c r="V80" s="445"/>
    </row>
    <row r="81" spans="1:22">
      <c r="A81" s="445"/>
      <c r="B81" s="445"/>
      <c r="C81" s="445"/>
      <c r="D81" s="445"/>
      <c r="E81" s="445"/>
      <c r="F81" s="445"/>
      <c r="G81" s="445"/>
      <c r="H81" s="445"/>
      <c r="I81" s="445"/>
      <c r="J81" s="445"/>
      <c r="K81" s="445"/>
      <c r="L81" s="445"/>
      <c r="M81" s="445"/>
      <c r="N81" s="445"/>
      <c r="O81" s="445"/>
      <c r="P81" s="445"/>
      <c r="Q81" s="445"/>
      <c r="R81" s="445"/>
      <c r="S81" s="445"/>
      <c r="T81" s="445"/>
      <c r="U81" s="445"/>
      <c r="V81" s="445"/>
    </row>
    <row r="82" spans="1:22">
      <c r="A82" s="445"/>
      <c r="B82" s="445"/>
      <c r="C82" s="445"/>
      <c r="D82" s="445"/>
      <c r="E82" s="445"/>
      <c r="F82" s="445"/>
      <c r="G82" s="445"/>
      <c r="H82" s="445"/>
      <c r="I82" s="445"/>
      <c r="J82" s="445"/>
      <c r="K82" s="445"/>
      <c r="L82" s="445"/>
      <c r="M82" s="445"/>
      <c r="N82" s="445"/>
      <c r="O82" s="445"/>
      <c r="P82" s="445"/>
      <c r="Q82" s="445"/>
      <c r="R82" s="445"/>
      <c r="S82" s="445"/>
      <c r="T82" s="445"/>
      <c r="U82" s="445"/>
      <c r="V82" s="445"/>
    </row>
    <row r="83" spans="1:22">
      <c r="A83" s="445"/>
      <c r="B83" s="445"/>
      <c r="C83" s="445"/>
      <c r="D83" s="445"/>
      <c r="E83" s="445"/>
      <c r="F83" s="445"/>
      <c r="G83" s="445"/>
      <c r="H83" s="445"/>
      <c r="I83" s="445"/>
      <c r="J83" s="445"/>
      <c r="K83" s="445"/>
      <c r="L83" s="445"/>
      <c r="M83" s="445"/>
      <c r="N83" s="445"/>
      <c r="O83" s="445"/>
      <c r="P83" s="445"/>
      <c r="Q83" s="445"/>
      <c r="R83" s="445"/>
      <c r="S83" s="445"/>
      <c r="T83" s="445"/>
      <c r="U83" s="445"/>
      <c r="V83" s="445"/>
    </row>
    <row r="84" spans="1:22">
      <c r="A84" s="445"/>
      <c r="B84" s="445"/>
      <c r="C84" s="445"/>
      <c r="D84" s="445"/>
      <c r="E84" s="445"/>
      <c r="F84" s="445"/>
      <c r="G84" s="445"/>
      <c r="H84" s="445"/>
      <c r="I84" s="445"/>
      <c r="J84" s="445"/>
      <c r="K84" s="445"/>
      <c r="L84" s="445"/>
      <c r="M84" s="445"/>
      <c r="N84" s="445"/>
      <c r="O84" s="445"/>
      <c r="P84" s="445"/>
      <c r="Q84" s="445"/>
      <c r="R84" s="445"/>
      <c r="S84" s="445"/>
      <c r="T84" s="445"/>
      <c r="U84" s="445"/>
      <c r="V84" s="445"/>
    </row>
    <row r="85" spans="1:22">
      <c r="A85" s="445"/>
      <c r="B85" s="445"/>
      <c r="C85" s="445"/>
      <c r="D85" s="445"/>
      <c r="E85" s="445"/>
      <c r="F85" s="445"/>
      <c r="G85" s="445"/>
      <c r="H85" s="445"/>
      <c r="I85" s="445"/>
      <c r="J85" s="445"/>
      <c r="K85" s="445"/>
      <c r="L85" s="445"/>
      <c r="M85" s="445"/>
      <c r="N85" s="445"/>
      <c r="O85" s="445"/>
      <c r="P85" s="445"/>
      <c r="Q85" s="445"/>
      <c r="R85" s="445"/>
      <c r="S85" s="445"/>
      <c r="T85" s="445"/>
      <c r="U85" s="445"/>
      <c r="V85" s="445"/>
    </row>
    <row r="86" spans="1:22">
      <c r="A86" s="445"/>
      <c r="B86" s="445"/>
      <c r="C86" s="445"/>
      <c r="D86" s="445"/>
      <c r="E86" s="445"/>
      <c r="F86" s="445"/>
      <c r="G86" s="445"/>
      <c r="H86" s="445"/>
      <c r="I86" s="445"/>
      <c r="J86" s="445"/>
      <c r="K86" s="445"/>
      <c r="L86" s="445"/>
      <c r="M86" s="445"/>
      <c r="N86" s="445"/>
      <c r="O86" s="445"/>
      <c r="P86" s="445"/>
      <c r="Q86" s="445"/>
      <c r="R86" s="445"/>
      <c r="S86" s="445"/>
      <c r="T86" s="445"/>
      <c r="U86" s="445"/>
      <c r="V86" s="445"/>
    </row>
    <row r="87" spans="1:22">
      <c r="A87" s="445"/>
      <c r="B87" s="445"/>
      <c r="C87" s="445"/>
      <c r="D87" s="445"/>
      <c r="E87" s="445"/>
      <c r="F87" s="445"/>
      <c r="G87" s="445"/>
      <c r="H87" s="445"/>
      <c r="I87" s="445"/>
      <c r="J87" s="445"/>
      <c r="K87" s="445"/>
      <c r="L87" s="445"/>
      <c r="M87" s="445"/>
      <c r="N87" s="445"/>
      <c r="O87" s="445"/>
      <c r="P87" s="445"/>
      <c r="Q87" s="445"/>
      <c r="R87" s="445"/>
      <c r="S87" s="445"/>
      <c r="T87" s="445"/>
      <c r="U87" s="445"/>
      <c r="V87" s="445"/>
    </row>
    <row r="88" spans="1:22">
      <c r="A88" s="445"/>
      <c r="B88" s="445"/>
      <c r="C88" s="445"/>
      <c r="D88" s="445"/>
      <c r="E88" s="445"/>
      <c r="F88" s="445"/>
      <c r="G88" s="445"/>
      <c r="H88" s="445"/>
      <c r="I88" s="445"/>
      <c r="J88" s="445"/>
      <c r="K88" s="445"/>
      <c r="L88" s="445"/>
      <c r="M88" s="445"/>
      <c r="N88" s="445"/>
      <c r="O88" s="445"/>
      <c r="P88" s="445"/>
      <c r="Q88" s="445"/>
      <c r="R88" s="445"/>
      <c r="S88" s="445"/>
      <c r="T88" s="445"/>
      <c r="U88" s="445"/>
      <c r="V88" s="445"/>
    </row>
    <row r="89" spans="1:22">
      <c r="A89" s="445"/>
      <c r="B89" s="445"/>
      <c r="C89" s="445"/>
      <c r="D89" s="445"/>
      <c r="E89" s="445"/>
      <c r="F89" s="445"/>
      <c r="G89" s="445"/>
      <c r="H89" s="445"/>
      <c r="I89" s="445"/>
      <c r="J89" s="445"/>
      <c r="K89" s="445"/>
      <c r="L89" s="445"/>
      <c r="M89" s="445"/>
      <c r="N89" s="445"/>
      <c r="O89" s="445"/>
      <c r="P89" s="445"/>
      <c r="Q89" s="445"/>
      <c r="R89" s="445"/>
      <c r="S89" s="445"/>
      <c r="T89" s="445"/>
      <c r="U89" s="445"/>
      <c r="V89" s="445"/>
    </row>
    <row r="90" spans="1:22">
      <c r="A90" s="445"/>
      <c r="B90" s="445"/>
      <c r="C90" s="445"/>
      <c r="D90" s="445"/>
      <c r="E90" s="445"/>
      <c r="F90" s="445"/>
      <c r="G90" s="445"/>
      <c r="H90" s="445"/>
      <c r="I90" s="445"/>
      <c r="J90" s="445"/>
      <c r="K90" s="445"/>
      <c r="L90" s="445"/>
      <c r="M90" s="445"/>
      <c r="N90" s="445"/>
      <c r="O90" s="445"/>
      <c r="P90" s="445"/>
      <c r="Q90" s="445"/>
      <c r="R90" s="445"/>
      <c r="S90" s="445"/>
      <c r="T90" s="445"/>
      <c r="U90" s="445"/>
      <c r="V90" s="445"/>
    </row>
    <row r="91" spans="1:22">
      <c r="A91" s="445"/>
      <c r="B91" s="445"/>
      <c r="C91" s="445"/>
      <c r="D91" s="445"/>
      <c r="E91" s="445"/>
      <c r="F91" s="445"/>
      <c r="G91" s="445"/>
      <c r="H91" s="445"/>
      <c r="I91" s="445"/>
      <c r="J91" s="445"/>
      <c r="K91" s="445"/>
      <c r="L91" s="445"/>
      <c r="M91" s="445"/>
      <c r="N91" s="445"/>
      <c r="O91" s="445"/>
      <c r="P91" s="445"/>
      <c r="Q91" s="445"/>
      <c r="R91" s="445"/>
      <c r="S91" s="445"/>
      <c r="T91" s="445"/>
      <c r="U91" s="445"/>
      <c r="V91" s="445"/>
    </row>
    <row r="92" spans="1:22">
      <c r="A92" s="445"/>
      <c r="B92" s="445"/>
      <c r="C92" s="445"/>
      <c r="D92" s="445"/>
      <c r="E92" s="445"/>
      <c r="F92" s="445"/>
      <c r="G92" s="445"/>
      <c r="H92" s="445"/>
      <c r="I92" s="445"/>
      <c r="J92" s="445"/>
      <c r="K92" s="445"/>
      <c r="L92" s="445"/>
      <c r="M92" s="445"/>
      <c r="N92" s="445"/>
      <c r="O92" s="445"/>
      <c r="P92" s="445"/>
      <c r="Q92" s="445"/>
      <c r="R92" s="445"/>
      <c r="S92" s="445"/>
      <c r="T92" s="445"/>
      <c r="U92" s="445"/>
      <c r="V92" s="445"/>
    </row>
    <row r="93" spans="1:22">
      <c r="A93" s="445"/>
      <c r="B93" s="445"/>
      <c r="C93" s="445"/>
      <c r="D93" s="445"/>
      <c r="E93" s="445"/>
      <c r="F93" s="445"/>
      <c r="G93" s="445"/>
      <c r="H93" s="445"/>
      <c r="I93" s="445"/>
      <c r="J93" s="445"/>
      <c r="K93" s="445"/>
      <c r="L93" s="445"/>
      <c r="M93" s="445"/>
      <c r="N93" s="445"/>
      <c r="O93" s="445"/>
      <c r="P93" s="445"/>
      <c r="Q93" s="445"/>
      <c r="R93" s="445"/>
      <c r="S93" s="445"/>
      <c r="T93" s="445"/>
      <c r="U93" s="445"/>
      <c r="V93" s="445"/>
    </row>
    <row r="94" spans="1:22">
      <c r="A94" s="445"/>
      <c r="B94" s="445"/>
      <c r="C94" s="445"/>
      <c r="D94" s="445"/>
      <c r="E94" s="445"/>
      <c r="F94" s="445"/>
      <c r="G94" s="445"/>
      <c r="H94" s="445"/>
      <c r="I94" s="445"/>
      <c r="J94" s="445"/>
      <c r="K94" s="445"/>
      <c r="L94" s="445"/>
      <c r="M94" s="445"/>
      <c r="N94" s="445"/>
      <c r="O94" s="445"/>
      <c r="P94" s="445"/>
      <c r="Q94" s="445"/>
      <c r="R94" s="445"/>
      <c r="S94" s="445"/>
      <c r="T94" s="445"/>
      <c r="U94" s="445"/>
      <c r="V94" s="445"/>
    </row>
    <row r="95" spans="1:22">
      <c r="A95" s="445"/>
      <c r="B95" s="445"/>
      <c r="C95" s="445"/>
      <c r="D95" s="445"/>
      <c r="E95" s="445"/>
      <c r="F95" s="445"/>
      <c r="G95" s="445"/>
      <c r="H95" s="445"/>
      <c r="I95" s="445"/>
      <c r="J95" s="445"/>
      <c r="K95" s="445"/>
      <c r="L95" s="445"/>
      <c r="M95" s="445"/>
      <c r="N95" s="445"/>
      <c r="O95" s="445"/>
      <c r="P95" s="445"/>
      <c r="Q95" s="445"/>
      <c r="R95" s="445"/>
      <c r="S95" s="445"/>
      <c r="T95" s="445"/>
      <c r="U95" s="445"/>
      <c r="V95" s="445"/>
    </row>
    <row r="96" spans="1:22">
      <c r="A96" s="445"/>
      <c r="B96" s="445"/>
      <c r="C96" s="445"/>
      <c r="D96" s="445"/>
      <c r="E96" s="445"/>
      <c r="F96" s="445"/>
      <c r="G96" s="445"/>
      <c r="H96" s="445"/>
      <c r="I96" s="445"/>
      <c r="J96" s="445"/>
      <c r="K96" s="445"/>
      <c r="L96" s="445"/>
      <c r="M96" s="445"/>
      <c r="N96" s="445"/>
      <c r="O96" s="445"/>
      <c r="P96" s="445"/>
      <c r="Q96" s="445"/>
      <c r="R96" s="445"/>
      <c r="S96" s="445"/>
      <c r="T96" s="445"/>
      <c r="U96" s="445"/>
      <c r="V96" s="445"/>
    </row>
    <row r="97" spans="1:22">
      <c r="A97" s="445"/>
      <c r="B97" s="445"/>
      <c r="C97" s="445"/>
      <c r="D97" s="445"/>
      <c r="E97" s="445"/>
      <c r="F97" s="445"/>
      <c r="G97" s="445"/>
      <c r="H97" s="445"/>
      <c r="I97" s="445"/>
      <c r="J97" s="445"/>
      <c r="K97" s="445"/>
      <c r="L97" s="445"/>
      <c r="M97" s="445"/>
      <c r="N97" s="445"/>
      <c r="O97" s="445"/>
      <c r="P97" s="445"/>
      <c r="Q97" s="445"/>
      <c r="R97" s="445"/>
      <c r="S97" s="445"/>
      <c r="T97" s="445"/>
      <c r="U97" s="445"/>
      <c r="V97" s="445"/>
    </row>
    <row r="98" spans="1:22">
      <c r="A98" s="445"/>
      <c r="B98" s="445"/>
      <c r="C98" s="445"/>
      <c r="D98" s="445"/>
      <c r="E98" s="445"/>
      <c r="F98" s="445"/>
      <c r="G98" s="445"/>
      <c r="H98" s="445"/>
      <c r="I98" s="445"/>
      <c r="J98" s="445"/>
      <c r="K98" s="445"/>
      <c r="L98" s="445"/>
      <c r="M98" s="445"/>
      <c r="N98" s="445"/>
      <c r="O98" s="445"/>
      <c r="P98" s="445"/>
      <c r="Q98" s="445"/>
      <c r="R98" s="445"/>
      <c r="S98" s="445"/>
      <c r="T98" s="445"/>
      <c r="U98" s="445"/>
      <c r="V98" s="445"/>
    </row>
    <row r="99" spans="1:22">
      <c r="A99" s="445"/>
      <c r="B99" s="445"/>
      <c r="C99" s="445"/>
      <c r="D99" s="445"/>
      <c r="E99" s="445"/>
      <c r="F99" s="445"/>
      <c r="G99" s="445"/>
      <c r="H99" s="445"/>
      <c r="I99" s="445"/>
      <c r="J99" s="445"/>
      <c r="K99" s="445"/>
      <c r="L99" s="445"/>
      <c r="M99" s="445"/>
      <c r="N99" s="445"/>
      <c r="O99" s="445"/>
      <c r="P99" s="445"/>
      <c r="Q99" s="445"/>
      <c r="R99" s="445"/>
      <c r="S99" s="445"/>
      <c r="T99" s="445"/>
      <c r="U99" s="445"/>
      <c r="V99" s="445"/>
    </row>
    <row r="100" spans="1:22">
      <c r="A100" s="445"/>
      <c r="B100" s="445"/>
      <c r="C100" s="445"/>
      <c r="D100" s="445"/>
      <c r="E100" s="445"/>
      <c r="F100" s="445"/>
      <c r="G100" s="445"/>
      <c r="H100" s="445"/>
      <c r="I100" s="445"/>
      <c r="J100" s="445"/>
      <c r="K100" s="445"/>
      <c r="L100" s="445"/>
      <c r="M100" s="445"/>
      <c r="N100" s="445"/>
      <c r="O100" s="445"/>
      <c r="P100" s="445"/>
      <c r="Q100" s="445"/>
      <c r="R100" s="445"/>
      <c r="S100" s="445"/>
      <c r="T100" s="445"/>
      <c r="U100" s="445"/>
      <c r="V100" s="445"/>
    </row>
  </sheetData>
  <sheetProtection selectLockedCells="1"/>
  <mergeCells count="11">
    <mergeCell ref="F22:G22"/>
    <mergeCell ref="C3:D3"/>
    <mergeCell ref="C13:D13"/>
    <mergeCell ref="F19:G19"/>
    <mergeCell ref="F20:G20"/>
    <mergeCell ref="F21:G21"/>
    <mergeCell ref="F25:G25"/>
    <mergeCell ref="F26:G26"/>
    <mergeCell ref="F27:G27"/>
    <mergeCell ref="F28:G28"/>
    <mergeCell ref="F29:G29"/>
  </mergeCells>
  <conditionalFormatting sqref="P45">
    <cfRule type="cellIs" dxfId="11" priority="6" operator="notEqual">
      <formula>0</formula>
    </cfRule>
  </conditionalFormatting>
  <conditionalFormatting sqref="K11">
    <cfRule type="cellIs" dxfId="10" priority="5" operator="lessThan">
      <formula>$I$11</formula>
    </cfRule>
  </conditionalFormatting>
  <conditionalFormatting sqref="P10">
    <cfRule type="cellIs" dxfId="9" priority="3" operator="greaterThanOrEqual">
      <formula>1.25</formula>
    </cfRule>
    <cfRule type="cellIs" dxfId="8" priority="4" operator="lessThan">
      <formula>1.25</formula>
    </cfRule>
  </conditionalFormatting>
  <conditionalFormatting sqref="P11">
    <cfRule type="cellIs" dxfId="7" priority="1" operator="greaterThanOrEqual">
      <formula>1.25</formula>
    </cfRule>
    <cfRule type="cellIs" dxfId="6" priority="2" operator="lessThan">
      <formula>1.25</formula>
    </cfRule>
  </conditionalFormatting>
  <dataValidations count="12">
    <dataValidation allowBlank="1" showInputMessage="1" showErrorMessage="1" promptTitle="Parcel(s):" prompt="Some properties have multiple APNs with separate values and taxes. You can identify all related parcels by searching the county's records. Usually If historical property taxes are higher than what is shown you likely overlooked additional parcels." sqref="C11" xr:uid="{00000000-0002-0000-0200-000000000000}"/>
    <dataValidation allowBlank="1" showInputMessage="1" showErrorMessage="1" promptTitle="Close Date:" prompt="The anticipated closing date and the first date of Year One." sqref="C26" xr:uid="{00000000-0002-0000-0200-000001000000}"/>
    <dataValidation type="list" allowBlank="1" showInputMessage="1" showErrorMessage="1" sqref="F4:F10" xr:uid="{00000000-0002-0000-0200-000002000000}">
      <formula1>$AC$3:$AC$14</formula1>
    </dataValidation>
    <dataValidation type="list" allowBlank="1" showInputMessage="1" showErrorMessage="1" sqref="Q5 Q24 S20" xr:uid="{00000000-0002-0000-0200-000003000000}">
      <formula1>"Fixed,Float"</formula1>
    </dataValidation>
    <dataValidation type="list" allowBlank="1" showInputMessage="1" showErrorMessage="1" sqref="O20" xr:uid="{00000000-0002-0000-0200-000004000000}">
      <formula1>"Manual,Calculated"</formula1>
    </dataValidation>
    <dataValidation allowBlank="1" showInputMessage="1" showErrorMessage="1" promptTitle="I/O:" prompt="The Interest Only is the period in which only interest payments are due. This does not reduce the principal amount when the loan begins to amortize." sqref="O6" xr:uid="{00000000-0002-0000-0200-000005000000}"/>
    <dataValidation allowBlank="1" showInputMessage="1" showErrorMessage="1" promptTitle="LTV Value:" prompt="The Loan to Value ratio is a ratio of the mortgage to price, and is commonly used for debt sizing." sqref="O17" xr:uid="{00000000-0002-0000-0200-000006000000}"/>
    <dataValidation allowBlank="1" showInputMessage="1" showErrorMessage="1" promptTitle="DSCR Value:" prompt="Debt Service Coverage Ratio is also used to size debt in which cash flows must cover total debt service to a certain ratio. For example, 1.25 DSCR means the NOI must be 1.25x the total debt service amount." sqref="O18" xr:uid="{00000000-0002-0000-0200-000007000000}"/>
    <dataValidation allowBlank="1" showInputMessage="1" showErrorMessage="1" promptTitle="Refinance:" prompt="Construction or acquisition senior loans are commonly refinanced to pull equity and replace the debt with permanent financing." sqref="O15" xr:uid="{00000000-0002-0000-0200-000008000000}"/>
    <dataValidation allowBlank="1" showInputMessage="1" showErrorMessage="1" promptTitle="Preferred Return:" prompt="Typically the first return hurdle that is calculated based on the investor's outstanding capital. This is somewhat similar to preferred equity in that there is a priority of returns." sqref="F14" xr:uid="{00000000-0002-0000-0200-000009000000}"/>
    <dataValidation allowBlank="1" showInputMessage="1" showErrorMessage="1" promptTitle="Excess CF Split:" prompt="Cash flow in excess of the preferred return (the &quot;pref&quot;), which is then split between the sponsor and investor." sqref="F15" xr:uid="{00000000-0002-0000-0200-00000A000000}"/>
    <dataValidation allowBlank="1" showInputMessage="1" showErrorMessage="1" promptTitle="Capital Events:" prompt="Capital events such as refinancing or sales are treated differently than regular cash flow. For example, proceeds from capital events would not pay down the pref." sqref="F16" xr:uid="{00000000-0002-0000-0200-00000B000000}"/>
  </dataValidations>
  <pageMargins left="0.7" right="0.7" top="0.75" bottom="0.75" header="0.3" footer="0.3"/>
  <pageSetup scale="26" orientation="portrait" r:id="rId1"/>
  <headerFooter>
    <oddFooter>&amp;C&amp;"Copperplate Gothic Light,Bold"&amp;16&amp;K04-049Chavis Capital</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A1:W57"/>
  <sheetViews>
    <sheetView showGridLines="0" zoomScale="115" zoomScaleNormal="115" workbookViewId="0">
      <selection activeCell="U1" sqref="U1"/>
    </sheetView>
  </sheetViews>
  <sheetFormatPr defaultRowHeight="12.75"/>
  <cols>
    <col min="2" max="2" width="0.6640625" customWidth="1"/>
    <col min="3" max="3" width="12.265625" bestFit="1" customWidth="1"/>
  </cols>
  <sheetData>
    <row r="1" spans="1:23" s="3" customFormat="1" ht="30">
      <c r="A1" s="75" t="str">
        <f ca="1">MID(CELL("filename",A1),FIND("]",CELL("filename",A1))+1,255)</f>
        <v>Deal Checklist</v>
      </c>
      <c r="B1" s="76"/>
      <c r="C1" s="76"/>
      <c r="D1" s="76"/>
      <c r="E1" s="76"/>
      <c r="F1" s="77"/>
      <c r="G1" s="77"/>
      <c r="H1" s="77"/>
      <c r="I1" s="77"/>
      <c r="J1" s="77"/>
      <c r="K1" s="77"/>
      <c r="L1" s="77"/>
      <c r="M1" s="77"/>
      <c r="N1" s="77"/>
      <c r="O1" s="77"/>
      <c r="P1" s="77"/>
      <c r="Q1" s="77"/>
      <c r="R1" s="77"/>
      <c r="S1" s="77"/>
      <c r="T1" s="77"/>
      <c r="U1" s="409">
        <f>+Name</f>
        <v>0</v>
      </c>
    </row>
    <row r="2" spans="1:23" ht="3.75" customHeight="1" thickBot="1">
      <c r="A2" s="73"/>
      <c r="B2" s="147"/>
      <c r="C2" s="147"/>
      <c r="D2" s="147"/>
      <c r="E2" s="147"/>
      <c r="F2" s="7"/>
    </row>
    <row r="3" spans="1:23" ht="13.15">
      <c r="A3" s="73"/>
      <c r="B3" s="147"/>
      <c r="C3" s="153" t="s">
        <v>283</v>
      </c>
      <c r="D3" s="154"/>
      <c r="E3" s="154"/>
      <c r="F3" s="154"/>
      <c r="G3" s="154"/>
      <c r="H3" s="154"/>
      <c r="I3" s="154"/>
      <c r="J3" s="154"/>
      <c r="K3" s="154"/>
      <c r="L3" s="154"/>
      <c r="M3" s="154"/>
      <c r="N3" s="154"/>
      <c r="O3" s="154"/>
      <c r="P3" s="154"/>
      <c r="Q3" s="154"/>
      <c r="R3" s="154"/>
      <c r="S3" s="155"/>
      <c r="T3" s="155"/>
      <c r="U3" s="156"/>
    </row>
    <row r="4" spans="1:23">
      <c r="A4" s="73"/>
      <c r="B4" s="147"/>
      <c r="C4" s="553" t="s">
        <v>282</v>
      </c>
      <c r="D4" s="554"/>
      <c r="E4" s="554"/>
      <c r="F4" s="554"/>
      <c r="G4" s="554"/>
      <c r="H4" s="554"/>
      <c r="I4" s="554"/>
      <c r="J4" s="554"/>
      <c r="K4" s="554"/>
      <c r="L4" s="554"/>
      <c r="M4" s="554"/>
      <c r="N4" s="554"/>
      <c r="O4" s="554"/>
      <c r="P4" s="554"/>
      <c r="Q4" s="554"/>
      <c r="R4" s="554"/>
      <c r="S4" s="554"/>
      <c r="T4" s="554"/>
      <c r="U4" s="555"/>
    </row>
    <row r="5" spans="1:23">
      <c r="A5" s="73"/>
      <c r="B5" s="147"/>
      <c r="C5" s="553"/>
      <c r="D5" s="554"/>
      <c r="E5" s="554"/>
      <c r="F5" s="554"/>
      <c r="G5" s="554"/>
      <c r="H5" s="554"/>
      <c r="I5" s="554"/>
      <c r="J5" s="554"/>
      <c r="K5" s="554"/>
      <c r="L5" s="554"/>
      <c r="M5" s="554"/>
      <c r="N5" s="554"/>
      <c r="O5" s="554"/>
      <c r="P5" s="554"/>
      <c r="Q5" s="554"/>
      <c r="R5" s="554"/>
      <c r="S5" s="554"/>
      <c r="T5" s="554"/>
      <c r="U5" s="555"/>
    </row>
    <row r="6" spans="1:23">
      <c r="A6" s="73"/>
      <c r="B6" s="147"/>
      <c r="C6" s="553"/>
      <c r="D6" s="554"/>
      <c r="E6" s="554"/>
      <c r="F6" s="554"/>
      <c r="G6" s="554"/>
      <c r="H6" s="554"/>
      <c r="I6" s="554"/>
      <c r="J6" s="554"/>
      <c r="K6" s="554"/>
      <c r="L6" s="554"/>
      <c r="M6" s="554"/>
      <c r="N6" s="554"/>
      <c r="O6" s="554"/>
      <c r="P6" s="554"/>
      <c r="Q6" s="554"/>
      <c r="R6" s="554"/>
      <c r="S6" s="554"/>
      <c r="T6" s="554"/>
      <c r="U6" s="555"/>
    </row>
    <row r="7" spans="1:23">
      <c r="A7" s="73"/>
      <c r="B7" s="147"/>
      <c r="C7" s="553"/>
      <c r="D7" s="554"/>
      <c r="E7" s="554"/>
      <c r="F7" s="554"/>
      <c r="G7" s="554"/>
      <c r="H7" s="554"/>
      <c r="I7" s="554"/>
      <c r="J7" s="554"/>
      <c r="K7" s="554"/>
      <c r="L7" s="554"/>
      <c r="M7" s="554"/>
      <c r="N7" s="554"/>
      <c r="O7" s="554"/>
      <c r="P7" s="554"/>
      <c r="Q7" s="554"/>
      <c r="R7" s="554"/>
      <c r="S7" s="554"/>
      <c r="T7" s="554"/>
      <c r="U7" s="555"/>
    </row>
    <row r="8" spans="1:23" ht="13.15" thickBot="1">
      <c r="A8" s="73"/>
      <c r="B8" s="147"/>
      <c r="C8" s="556"/>
      <c r="D8" s="557"/>
      <c r="E8" s="557"/>
      <c r="F8" s="557"/>
      <c r="G8" s="557"/>
      <c r="H8" s="557"/>
      <c r="I8" s="557"/>
      <c r="J8" s="557"/>
      <c r="K8" s="557"/>
      <c r="L8" s="557"/>
      <c r="M8" s="557"/>
      <c r="N8" s="557"/>
      <c r="O8" s="557"/>
      <c r="P8" s="557"/>
      <c r="Q8" s="557"/>
      <c r="R8" s="557"/>
      <c r="S8" s="557"/>
      <c r="T8" s="557"/>
      <c r="U8" s="558"/>
    </row>
    <row r="9" spans="1:23" ht="13.15" thickBot="1">
      <c r="A9" s="73"/>
      <c r="B9" s="147"/>
      <c r="C9" s="152"/>
      <c r="D9" s="152"/>
      <c r="E9" s="152"/>
      <c r="F9" s="152"/>
      <c r="G9" s="152"/>
      <c r="H9" s="152"/>
      <c r="I9" s="152"/>
      <c r="J9" s="152"/>
      <c r="K9" s="152"/>
      <c r="L9" s="152"/>
      <c r="M9" s="152"/>
      <c r="N9" s="152"/>
      <c r="O9" s="152"/>
      <c r="P9" s="152"/>
      <c r="Q9" s="152"/>
      <c r="R9" s="152"/>
      <c r="S9" s="152"/>
      <c r="T9" s="152"/>
      <c r="U9" s="152"/>
    </row>
    <row r="10" spans="1:23" ht="12.75" customHeight="1">
      <c r="A10" s="73"/>
      <c r="B10" s="147"/>
      <c r="C10" s="153" t="s">
        <v>254</v>
      </c>
      <c r="D10" s="154"/>
      <c r="E10" s="154"/>
      <c r="F10" s="154"/>
      <c r="G10" s="154"/>
      <c r="H10" s="154"/>
      <c r="I10" s="154"/>
      <c r="J10" s="154"/>
      <c r="K10" s="154"/>
      <c r="L10" s="154"/>
      <c r="M10" s="154"/>
      <c r="N10" s="154"/>
      <c r="O10" s="154"/>
      <c r="P10" s="154"/>
      <c r="Q10" s="154"/>
      <c r="R10" s="154"/>
      <c r="S10" s="155"/>
      <c r="T10" s="155"/>
      <c r="U10" s="156"/>
      <c r="W10" s="65"/>
    </row>
    <row r="11" spans="1:23">
      <c r="A11" s="73"/>
      <c r="B11" s="147"/>
      <c r="C11" s="553" t="s">
        <v>275</v>
      </c>
      <c r="D11" s="554"/>
      <c r="E11" s="554"/>
      <c r="F11" s="554"/>
      <c r="G11" s="554"/>
      <c r="H11" s="554"/>
      <c r="I11" s="554"/>
      <c r="J11" s="554"/>
      <c r="K11" s="554"/>
      <c r="L11" s="554"/>
      <c r="M11" s="554"/>
      <c r="N11" s="554"/>
      <c r="O11" s="554"/>
      <c r="P11" s="554"/>
      <c r="Q11" s="554"/>
      <c r="R11" s="554"/>
      <c r="S11" s="554"/>
      <c r="T11" s="554"/>
      <c r="U11" s="555"/>
    </row>
    <row r="12" spans="1:23">
      <c r="A12" s="73"/>
      <c r="B12" s="147"/>
      <c r="C12" s="553"/>
      <c r="D12" s="554"/>
      <c r="E12" s="554"/>
      <c r="F12" s="554"/>
      <c r="G12" s="554"/>
      <c r="H12" s="554"/>
      <c r="I12" s="554"/>
      <c r="J12" s="554"/>
      <c r="K12" s="554"/>
      <c r="L12" s="554"/>
      <c r="M12" s="554"/>
      <c r="N12" s="554"/>
      <c r="O12" s="554"/>
      <c r="P12" s="554"/>
      <c r="Q12" s="554"/>
      <c r="R12" s="554"/>
      <c r="S12" s="554"/>
      <c r="T12" s="554"/>
      <c r="U12" s="555"/>
    </row>
    <row r="13" spans="1:23">
      <c r="A13" s="73"/>
      <c r="B13" s="147"/>
      <c r="C13" s="553"/>
      <c r="D13" s="554"/>
      <c r="E13" s="554"/>
      <c r="F13" s="554"/>
      <c r="G13" s="554"/>
      <c r="H13" s="554"/>
      <c r="I13" s="554"/>
      <c r="J13" s="554"/>
      <c r="K13" s="554"/>
      <c r="L13" s="554"/>
      <c r="M13" s="554"/>
      <c r="N13" s="554"/>
      <c r="O13" s="554"/>
      <c r="P13" s="554"/>
      <c r="Q13" s="554"/>
      <c r="R13" s="554"/>
      <c r="S13" s="554"/>
      <c r="T13" s="554"/>
      <c r="U13" s="555"/>
    </row>
    <row r="14" spans="1:23">
      <c r="A14" s="73"/>
      <c r="B14" s="147"/>
      <c r="C14" s="553"/>
      <c r="D14" s="554"/>
      <c r="E14" s="554"/>
      <c r="F14" s="554"/>
      <c r="G14" s="554"/>
      <c r="H14" s="554"/>
      <c r="I14" s="554"/>
      <c r="J14" s="554"/>
      <c r="K14" s="554"/>
      <c r="L14" s="554"/>
      <c r="M14" s="554"/>
      <c r="N14" s="554"/>
      <c r="O14" s="554"/>
      <c r="P14" s="554"/>
      <c r="Q14" s="554"/>
      <c r="R14" s="554"/>
      <c r="S14" s="554"/>
      <c r="T14" s="554"/>
      <c r="U14" s="555"/>
    </row>
    <row r="15" spans="1:23" ht="13.15" thickBot="1">
      <c r="A15" s="73"/>
      <c r="B15" s="147"/>
      <c r="C15" s="556"/>
      <c r="D15" s="557"/>
      <c r="E15" s="557"/>
      <c r="F15" s="557"/>
      <c r="G15" s="557"/>
      <c r="H15" s="557"/>
      <c r="I15" s="557"/>
      <c r="J15" s="557"/>
      <c r="K15" s="557"/>
      <c r="L15" s="557"/>
      <c r="M15" s="557"/>
      <c r="N15" s="557"/>
      <c r="O15" s="557"/>
      <c r="P15" s="557"/>
      <c r="Q15" s="557"/>
      <c r="R15" s="557"/>
      <c r="S15" s="557"/>
      <c r="T15" s="557"/>
      <c r="U15" s="558"/>
    </row>
    <row r="16" spans="1:23" ht="13.15" thickBot="1">
      <c r="A16" s="73"/>
      <c r="B16" s="147"/>
      <c r="C16" s="150"/>
      <c r="D16" s="150"/>
      <c r="E16" s="150"/>
      <c r="F16" s="150"/>
      <c r="G16" s="150"/>
      <c r="H16" s="150"/>
      <c r="I16" s="150"/>
      <c r="J16" s="150"/>
      <c r="K16" s="150"/>
      <c r="L16" s="150"/>
      <c r="M16" s="150"/>
      <c r="N16" s="150"/>
      <c r="O16" s="150"/>
      <c r="P16" s="150"/>
      <c r="Q16" s="150"/>
      <c r="R16" s="150"/>
      <c r="S16" s="147"/>
      <c r="T16" s="147"/>
      <c r="U16" s="147"/>
    </row>
    <row r="17" spans="1:21" ht="13.15">
      <c r="A17" s="73"/>
      <c r="B17" s="147"/>
      <c r="C17" s="153" t="s">
        <v>271</v>
      </c>
      <c r="D17" s="154"/>
      <c r="E17" s="154"/>
      <c r="F17" s="154"/>
      <c r="G17" s="154"/>
      <c r="H17" s="154"/>
      <c r="I17" s="154"/>
      <c r="J17" s="154"/>
      <c r="K17" s="154"/>
      <c r="L17" s="154"/>
      <c r="M17" s="154"/>
      <c r="N17" s="154"/>
      <c r="O17" s="154"/>
      <c r="P17" s="154"/>
      <c r="Q17" s="154"/>
      <c r="R17" s="154"/>
      <c r="S17" s="155"/>
      <c r="T17" s="155"/>
      <c r="U17" s="156"/>
    </row>
    <row r="18" spans="1:21">
      <c r="A18" s="73"/>
      <c r="B18" s="147"/>
      <c r="C18" s="553" t="s">
        <v>277</v>
      </c>
      <c r="D18" s="554"/>
      <c r="E18" s="554"/>
      <c r="F18" s="554"/>
      <c r="G18" s="554"/>
      <c r="H18" s="554"/>
      <c r="I18" s="554"/>
      <c r="J18" s="554"/>
      <c r="K18" s="554"/>
      <c r="L18" s="554"/>
      <c r="M18" s="554"/>
      <c r="N18" s="554"/>
      <c r="O18" s="554"/>
      <c r="P18" s="554"/>
      <c r="Q18" s="554"/>
      <c r="R18" s="554"/>
      <c r="S18" s="554"/>
      <c r="T18" s="554"/>
      <c r="U18" s="555"/>
    </row>
    <row r="19" spans="1:21">
      <c r="A19" s="73"/>
      <c r="B19" s="147"/>
      <c r="C19" s="553"/>
      <c r="D19" s="554"/>
      <c r="E19" s="554"/>
      <c r="F19" s="554"/>
      <c r="G19" s="554"/>
      <c r="H19" s="554"/>
      <c r="I19" s="554"/>
      <c r="J19" s="554"/>
      <c r="K19" s="554"/>
      <c r="L19" s="554"/>
      <c r="M19" s="554"/>
      <c r="N19" s="554"/>
      <c r="O19" s="554"/>
      <c r="P19" s="554"/>
      <c r="Q19" s="554"/>
      <c r="R19" s="554"/>
      <c r="S19" s="554"/>
      <c r="T19" s="554"/>
      <c r="U19" s="555"/>
    </row>
    <row r="20" spans="1:21">
      <c r="A20" s="73"/>
      <c r="B20" s="147"/>
      <c r="C20" s="553"/>
      <c r="D20" s="554"/>
      <c r="E20" s="554"/>
      <c r="F20" s="554"/>
      <c r="G20" s="554"/>
      <c r="H20" s="554"/>
      <c r="I20" s="554"/>
      <c r="J20" s="554"/>
      <c r="K20" s="554"/>
      <c r="L20" s="554"/>
      <c r="M20" s="554"/>
      <c r="N20" s="554"/>
      <c r="O20" s="554"/>
      <c r="P20" s="554"/>
      <c r="Q20" s="554"/>
      <c r="R20" s="554"/>
      <c r="S20" s="554"/>
      <c r="T20" s="554"/>
      <c r="U20" s="555"/>
    </row>
    <row r="21" spans="1:21">
      <c r="A21" s="73"/>
      <c r="B21" s="147"/>
      <c r="C21" s="553"/>
      <c r="D21" s="554"/>
      <c r="E21" s="554"/>
      <c r="F21" s="554"/>
      <c r="G21" s="554"/>
      <c r="H21" s="554"/>
      <c r="I21" s="554"/>
      <c r="J21" s="554"/>
      <c r="K21" s="554"/>
      <c r="L21" s="554"/>
      <c r="M21" s="554"/>
      <c r="N21" s="554"/>
      <c r="O21" s="554"/>
      <c r="P21" s="554"/>
      <c r="Q21" s="554"/>
      <c r="R21" s="554"/>
      <c r="S21" s="554"/>
      <c r="T21" s="554"/>
      <c r="U21" s="555"/>
    </row>
    <row r="22" spans="1:21" ht="13.15" thickBot="1">
      <c r="A22" s="73"/>
      <c r="B22" s="147"/>
      <c r="C22" s="556"/>
      <c r="D22" s="557"/>
      <c r="E22" s="557"/>
      <c r="F22" s="557"/>
      <c r="G22" s="557"/>
      <c r="H22" s="557"/>
      <c r="I22" s="557"/>
      <c r="J22" s="557"/>
      <c r="K22" s="557"/>
      <c r="L22" s="557"/>
      <c r="M22" s="557"/>
      <c r="N22" s="557"/>
      <c r="O22" s="557"/>
      <c r="P22" s="557"/>
      <c r="Q22" s="557"/>
      <c r="R22" s="557"/>
      <c r="S22" s="557"/>
      <c r="T22" s="557"/>
      <c r="U22" s="558"/>
    </row>
    <row r="23" spans="1:21" ht="13.15" thickBot="1">
      <c r="A23" s="73"/>
      <c r="B23" s="147"/>
      <c r="C23" s="150"/>
      <c r="D23" s="150"/>
      <c r="E23" s="150"/>
      <c r="F23" s="150"/>
      <c r="G23" s="150"/>
      <c r="H23" s="150"/>
      <c r="I23" s="150"/>
      <c r="J23" s="150"/>
      <c r="K23" s="150"/>
      <c r="L23" s="150"/>
      <c r="M23" s="150"/>
      <c r="N23" s="150"/>
      <c r="O23" s="150"/>
      <c r="P23" s="150"/>
      <c r="Q23" s="150"/>
      <c r="R23" s="150"/>
      <c r="S23" s="147"/>
      <c r="T23" s="147"/>
      <c r="U23" s="147"/>
    </row>
    <row r="24" spans="1:21" ht="13.15">
      <c r="A24" s="73"/>
      <c r="B24" s="147"/>
      <c r="C24" s="153" t="s">
        <v>272</v>
      </c>
      <c r="D24" s="154"/>
      <c r="E24" s="154"/>
      <c r="F24" s="154"/>
      <c r="G24" s="154"/>
      <c r="H24" s="154"/>
      <c r="I24" s="154"/>
      <c r="J24" s="154"/>
      <c r="K24" s="154"/>
      <c r="L24" s="154"/>
      <c r="M24" s="154"/>
      <c r="N24" s="154"/>
      <c r="O24" s="154"/>
      <c r="P24" s="154"/>
      <c r="Q24" s="154"/>
      <c r="R24" s="154"/>
      <c r="S24" s="155"/>
      <c r="T24" s="155"/>
      <c r="U24" s="156"/>
    </row>
    <row r="25" spans="1:21">
      <c r="A25" s="73"/>
      <c r="B25" s="147"/>
      <c r="C25" s="553" t="s">
        <v>278</v>
      </c>
      <c r="D25" s="554"/>
      <c r="E25" s="554"/>
      <c r="F25" s="554"/>
      <c r="G25" s="554"/>
      <c r="H25" s="554"/>
      <c r="I25" s="554"/>
      <c r="J25" s="554"/>
      <c r="K25" s="554"/>
      <c r="L25" s="554"/>
      <c r="M25" s="554"/>
      <c r="N25" s="554"/>
      <c r="O25" s="554"/>
      <c r="P25" s="554"/>
      <c r="Q25" s="554"/>
      <c r="R25" s="554"/>
      <c r="S25" s="554"/>
      <c r="T25" s="554"/>
      <c r="U25" s="555"/>
    </row>
    <row r="26" spans="1:21">
      <c r="A26" s="73"/>
      <c r="B26" s="147"/>
      <c r="C26" s="553"/>
      <c r="D26" s="554"/>
      <c r="E26" s="554"/>
      <c r="F26" s="554"/>
      <c r="G26" s="554"/>
      <c r="H26" s="554"/>
      <c r="I26" s="554"/>
      <c r="J26" s="554"/>
      <c r="K26" s="554"/>
      <c r="L26" s="554"/>
      <c r="M26" s="554"/>
      <c r="N26" s="554"/>
      <c r="O26" s="554"/>
      <c r="P26" s="554"/>
      <c r="Q26" s="554"/>
      <c r="R26" s="554"/>
      <c r="S26" s="554"/>
      <c r="T26" s="554"/>
      <c r="U26" s="555"/>
    </row>
    <row r="27" spans="1:21">
      <c r="A27" s="73"/>
      <c r="B27" s="147"/>
      <c r="C27" s="553"/>
      <c r="D27" s="554"/>
      <c r="E27" s="554"/>
      <c r="F27" s="554"/>
      <c r="G27" s="554"/>
      <c r="H27" s="554"/>
      <c r="I27" s="554"/>
      <c r="J27" s="554"/>
      <c r="K27" s="554"/>
      <c r="L27" s="554"/>
      <c r="M27" s="554"/>
      <c r="N27" s="554"/>
      <c r="O27" s="554"/>
      <c r="P27" s="554"/>
      <c r="Q27" s="554"/>
      <c r="R27" s="554"/>
      <c r="S27" s="554"/>
      <c r="T27" s="554"/>
      <c r="U27" s="555"/>
    </row>
    <row r="28" spans="1:21">
      <c r="A28" s="73"/>
      <c r="B28" s="147"/>
      <c r="C28" s="553"/>
      <c r="D28" s="554"/>
      <c r="E28" s="554"/>
      <c r="F28" s="554"/>
      <c r="G28" s="554"/>
      <c r="H28" s="554"/>
      <c r="I28" s="554"/>
      <c r="J28" s="554"/>
      <c r="K28" s="554"/>
      <c r="L28" s="554"/>
      <c r="M28" s="554"/>
      <c r="N28" s="554"/>
      <c r="O28" s="554"/>
      <c r="P28" s="554"/>
      <c r="Q28" s="554"/>
      <c r="R28" s="554"/>
      <c r="S28" s="554"/>
      <c r="T28" s="554"/>
      <c r="U28" s="555"/>
    </row>
    <row r="29" spans="1:21" ht="13.15" thickBot="1">
      <c r="A29" s="73"/>
      <c r="B29" s="147"/>
      <c r="C29" s="556"/>
      <c r="D29" s="557"/>
      <c r="E29" s="557"/>
      <c r="F29" s="557"/>
      <c r="G29" s="557"/>
      <c r="H29" s="557"/>
      <c r="I29" s="557"/>
      <c r="J29" s="557"/>
      <c r="K29" s="557"/>
      <c r="L29" s="557"/>
      <c r="M29" s="557"/>
      <c r="N29" s="557"/>
      <c r="O29" s="557"/>
      <c r="P29" s="557"/>
      <c r="Q29" s="557"/>
      <c r="R29" s="557"/>
      <c r="S29" s="557"/>
      <c r="T29" s="557"/>
      <c r="U29" s="558"/>
    </row>
    <row r="30" spans="1:21" ht="13.15" thickBot="1">
      <c r="A30" s="73"/>
      <c r="B30" s="147"/>
      <c r="C30" s="150"/>
      <c r="D30" s="150"/>
      <c r="E30" s="150"/>
      <c r="F30" s="150"/>
      <c r="G30" s="150"/>
      <c r="H30" s="150"/>
      <c r="I30" s="150"/>
      <c r="J30" s="150"/>
      <c r="K30" s="150"/>
      <c r="L30" s="150"/>
      <c r="M30" s="150"/>
      <c r="N30" s="150"/>
      <c r="O30" s="150"/>
      <c r="P30" s="150"/>
      <c r="Q30" s="150"/>
      <c r="R30" s="150"/>
      <c r="S30" s="147"/>
      <c r="T30" s="147"/>
      <c r="U30" s="147"/>
    </row>
    <row r="31" spans="1:21" ht="13.15">
      <c r="A31" s="73"/>
      <c r="B31" s="147"/>
      <c r="C31" s="153" t="s">
        <v>273</v>
      </c>
      <c r="D31" s="154"/>
      <c r="E31" s="154"/>
      <c r="F31" s="154"/>
      <c r="G31" s="154"/>
      <c r="H31" s="154"/>
      <c r="I31" s="154"/>
      <c r="J31" s="154"/>
      <c r="K31" s="154"/>
      <c r="L31" s="154"/>
      <c r="M31" s="154"/>
      <c r="N31" s="154"/>
      <c r="O31" s="154"/>
      <c r="P31" s="154"/>
      <c r="Q31" s="154"/>
      <c r="R31" s="154"/>
      <c r="S31" s="155"/>
      <c r="T31" s="155"/>
      <c r="U31" s="156"/>
    </row>
    <row r="32" spans="1:21">
      <c r="A32" s="73"/>
      <c r="B32" s="147"/>
      <c r="C32" s="553" t="s">
        <v>279</v>
      </c>
      <c r="D32" s="554"/>
      <c r="E32" s="554"/>
      <c r="F32" s="554"/>
      <c r="G32" s="554"/>
      <c r="H32" s="554"/>
      <c r="I32" s="554"/>
      <c r="J32" s="554"/>
      <c r="K32" s="554"/>
      <c r="L32" s="554"/>
      <c r="M32" s="554"/>
      <c r="N32" s="554"/>
      <c r="O32" s="554"/>
      <c r="P32" s="554"/>
      <c r="Q32" s="554"/>
      <c r="R32" s="554"/>
      <c r="S32" s="554"/>
      <c r="T32" s="554"/>
      <c r="U32" s="555"/>
    </row>
    <row r="33" spans="1:21">
      <c r="A33" s="73"/>
      <c r="B33" s="147"/>
      <c r="C33" s="553"/>
      <c r="D33" s="554"/>
      <c r="E33" s="554"/>
      <c r="F33" s="554"/>
      <c r="G33" s="554"/>
      <c r="H33" s="554"/>
      <c r="I33" s="554"/>
      <c r="J33" s="554"/>
      <c r="K33" s="554"/>
      <c r="L33" s="554"/>
      <c r="M33" s="554"/>
      <c r="N33" s="554"/>
      <c r="O33" s="554"/>
      <c r="P33" s="554"/>
      <c r="Q33" s="554"/>
      <c r="R33" s="554"/>
      <c r="S33" s="554"/>
      <c r="T33" s="554"/>
      <c r="U33" s="555"/>
    </row>
    <row r="34" spans="1:21">
      <c r="A34" s="73"/>
      <c r="B34" s="147"/>
      <c r="C34" s="553"/>
      <c r="D34" s="554"/>
      <c r="E34" s="554"/>
      <c r="F34" s="554"/>
      <c r="G34" s="554"/>
      <c r="H34" s="554"/>
      <c r="I34" s="554"/>
      <c r="J34" s="554"/>
      <c r="K34" s="554"/>
      <c r="L34" s="554"/>
      <c r="M34" s="554"/>
      <c r="N34" s="554"/>
      <c r="O34" s="554"/>
      <c r="P34" s="554"/>
      <c r="Q34" s="554"/>
      <c r="R34" s="554"/>
      <c r="S34" s="554"/>
      <c r="T34" s="554"/>
      <c r="U34" s="555"/>
    </row>
    <row r="35" spans="1:21">
      <c r="A35" s="73"/>
      <c r="B35" s="147"/>
      <c r="C35" s="553"/>
      <c r="D35" s="554"/>
      <c r="E35" s="554"/>
      <c r="F35" s="554"/>
      <c r="G35" s="554"/>
      <c r="H35" s="554"/>
      <c r="I35" s="554"/>
      <c r="J35" s="554"/>
      <c r="K35" s="554"/>
      <c r="L35" s="554"/>
      <c r="M35" s="554"/>
      <c r="N35" s="554"/>
      <c r="O35" s="554"/>
      <c r="P35" s="554"/>
      <c r="Q35" s="554"/>
      <c r="R35" s="554"/>
      <c r="S35" s="554"/>
      <c r="T35" s="554"/>
      <c r="U35" s="555"/>
    </row>
    <row r="36" spans="1:21" ht="13.15" thickBot="1">
      <c r="A36" s="73"/>
      <c r="C36" s="556"/>
      <c r="D36" s="557"/>
      <c r="E36" s="557"/>
      <c r="F36" s="557"/>
      <c r="G36" s="557"/>
      <c r="H36" s="557"/>
      <c r="I36" s="557"/>
      <c r="J36" s="557"/>
      <c r="K36" s="557"/>
      <c r="L36" s="557"/>
      <c r="M36" s="557"/>
      <c r="N36" s="557"/>
      <c r="O36" s="557"/>
      <c r="P36" s="557"/>
      <c r="Q36" s="557"/>
      <c r="R36" s="557"/>
      <c r="S36" s="557"/>
      <c r="T36" s="557"/>
      <c r="U36" s="558"/>
    </row>
    <row r="37" spans="1:21" ht="13.15" thickBot="1">
      <c r="A37" s="73"/>
      <c r="C37" s="151"/>
      <c r="D37" s="151"/>
      <c r="E37" s="151"/>
      <c r="F37" s="151"/>
      <c r="G37" s="151"/>
      <c r="H37" s="151"/>
      <c r="I37" s="151"/>
      <c r="J37" s="151"/>
      <c r="K37" s="151"/>
      <c r="L37" s="151"/>
      <c r="M37" s="151"/>
      <c r="N37" s="151"/>
      <c r="O37" s="151"/>
      <c r="P37" s="151"/>
      <c r="Q37" s="151"/>
      <c r="R37" s="151"/>
    </row>
    <row r="38" spans="1:21" ht="13.15">
      <c r="A38" s="73"/>
      <c r="C38" s="153" t="s">
        <v>274</v>
      </c>
      <c r="D38" s="154"/>
      <c r="E38" s="154"/>
      <c r="F38" s="154"/>
      <c r="G38" s="154"/>
      <c r="H38" s="154"/>
      <c r="I38" s="154"/>
      <c r="J38" s="154"/>
      <c r="K38" s="154"/>
      <c r="L38" s="154"/>
      <c r="M38" s="154"/>
      <c r="N38" s="154"/>
      <c r="O38" s="154"/>
      <c r="P38" s="154"/>
      <c r="Q38" s="154"/>
      <c r="R38" s="154"/>
      <c r="S38" s="155"/>
      <c r="T38" s="155"/>
      <c r="U38" s="156"/>
    </row>
    <row r="39" spans="1:21">
      <c r="A39" s="73"/>
      <c r="C39" s="553" t="s">
        <v>280</v>
      </c>
      <c r="D39" s="554"/>
      <c r="E39" s="554"/>
      <c r="F39" s="554"/>
      <c r="G39" s="554"/>
      <c r="H39" s="554"/>
      <c r="I39" s="554"/>
      <c r="J39" s="554"/>
      <c r="K39" s="554"/>
      <c r="L39" s="554"/>
      <c r="M39" s="554"/>
      <c r="N39" s="554"/>
      <c r="O39" s="554"/>
      <c r="P39" s="554"/>
      <c r="Q39" s="554"/>
      <c r="R39" s="554"/>
      <c r="S39" s="554"/>
      <c r="T39" s="554"/>
      <c r="U39" s="555"/>
    </row>
    <row r="40" spans="1:21">
      <c r="A40" s="73"/>
      <c r="C40" s="553"/>
      <c r="D40" s="554"/>
      <c r="E40" s="554"/>
      <c r="F40" s="554"/>
      <c r="G40" s="554"/>
      <c r="H40" s="554"/>
      <c r="I40" s="554"/>
      <c r="J40" s="554"/>
      <c r="K40" s="554"/>
      <c r="L40" s="554"/>
      <c r="M40" s="554"/>
      <c r="N40" s="554"/>
      <c r="O40" s="554"/>
      <c r="P40" s="554"/>
      <c r="Q40" s="554"/>
      <c r="R40" s="554"/>
      <c r="S40" s="554"/>
      <c r="T40" s="554"/>
      <c r="U40" s="555"/>
    </row>
    <row r="41" spans="1:21">
      <c r="A41" s="73"/>
      <c r="C41" s="553"/>
      <c r="D41" s="554"/>
      <c r="E41" s="554"/>
      <c r="F41" s="554"/>
      <c r="G41" s="554"/>
      <c r="H41" s="554"/>
      <c r="I41" s="554"/>
      <c r="J41" s="554"/>
      <c r="K41" s="554"/>
      <c r="L41" s="554"/>
      <c r="M41" s="554"/>
      <c r="N41" s="554"/>
      <c r="O41" s="554"/>
      <c r="P41" s="554"/>
      <c r="Q41" s="554"/>
      <c r="R41" s="554"/>
      <c r="S41" s="554"/>
      <c r="T41" s="554"/>
      <c r="U41" s="555"/>
    </row>
    <row r="42" spans="1:21">
      <c r="A42" s="73"/>
      <c r="C42" s="553"/>
      <c r="D42" s="554"/>
      <c r="E42" s="554"/>
      <c r="F42" s="554"/>
      <c r="G42" s="554"/>
      <c r="H42" s="554"/>
      <c r="I42" s="554"/>
      <c r="J42" s="554"/>
      <c r="K42" s="554"/>
      <c r="L42" s="554"/>
      <c r="M42" s="554"/>
      <c r="N42" s="554"/>
      <c r="O42" s="554"/>
      <c r="P42" s="554"/>
      <c r="Q42" s="554"/>
      <c r="R42" s="554"/>
      <c r="S42" s="554"/>
      <c r="T42" s="554"/>
      <c r="U42" s="555"/>
    </row>
    <row r="43" spans="1:21" ht="13.15" thickBot="1">
      <c r="A43" s="73"/>
      <c r="C43" s="556"/>
      <c r="D43" s="557"/>
      <c r="E43" s="557"/>
      <c r="F43" s="557"/>
      <c r="G43" s="557"/>
      <c r="H43" s="557"/>
      <c r="I43" s="557"/>
      <c r="J43" s="557"/>
      <c r="K43" s="557"/>
      <c r="L43" s="557"/>
      <c r="M43" s="557"/>
      <c r="N43" s="557"/>
      <c r="O43" s="557"/>
      <c r="P43" s="557"/>
      <c r="Q43" s="557"/>
      <c r="R43" s="557"/>
      <c r="S43" s="557"/>
      <c r="T43" s="557"/>
      <c r="U43" s="558"/>
    </row>
    <row r="44" spans="1:21" ht="13.15" thickBot="1">
      <c r="A44" s="73"/>
    </row>
    <row r="45" spans="1:21" ht="13.15">
      <c r="A45" s="73"/>
      <c r="C45" s="153" t="s">
        <v>284</v>
      </c>
      <c r="D45" s="154"/>
      <c r="E45" s="154"/>
      <c r="F45" s="154"/>
      <c r="G45" s="154"/>
      <c r="H45" s="154"/>
      <c r="I45" s="154"/>
      <c r="J45" s="154"/>
      <c r="K45" s="154"/>
      <c r="L45" s="154"/>
      <c r="M45" s="154"/>
      <c r="N45" s="154"/>
      <c r="O45" s="154"/>
      <c r="P45" s="154"/>
      <c r="Q45" s="154"/>
      <c r="R45" s="154"/>
      <c r="S45" s="155"/>
      <c r="T45" s="155"/>
      <c r="U45" s="156"/>
    </row>
    <row r="46" spans="1:21">
      <c r="A46" s="73"/>
      <c r="C46" s="553" t="s">
        <v>285</v>
      </c>
      <c r="D46" s="554"/>
      <c r="E46" s="554"/>
      <c r="F46" s="554"/>
      <c r="G46" s="554"/>
      <c r="H46" s="554"/>
      <c r="I46" s="554"/>
      <c r="J46" s="554"/>
      <c r="K46" s="554"/>
      <c r="L46" s="554"/>
      <c r="M46" s="554"/>
      <c r="N46" s="554"/>
      <c r="O46" s="554"/>
      <c r="P46" s="554"/>
      <c r="Q46" s="554"/>
      <c r="R46" s="554"/>
      <c r="S46" s="554"/>
      <c r="T46" s="554"/>
      <c r="U46" s="555"/>
    </row>
    <row r="47" spans="1:21">
      <c r="A47" s="73"/>
      <c r="C47" s="553"/>
      <c r="D47" s="554"/>
      <c r="E47" s="554"/>
      <c r="F47" s="554"/>
      <c r="G47" s="554"/>
      <c r="H47" s="554"/>
      <c r="I47" s="554"/>
      <c r="J47" s="554"/>
      <c r="K47" s="554"/>
      <c r="L47" s="554"/>
      <c r="M47" s="554"/>
      <c r="N47" s="554"/>
      <c r="O47" s="554"/>
      <c r="P47" s="554"/>
      <c r="Q47" s="554"/>
      <c r="R47" s="554"/>
      <c r="S47" s="554"/>
      <c r="T47" s="554"/>
      <c r="U47" s="555"/>
    </row>
    <row r="48" spans="1:21">
      <c r="A48" s="73"/>
      <c r="C48" s="553"/>
      <c r="D48" s="554"/>
      <c r="E48" s="554"/>
      <c r="F48" s="554"/>
      <c r="G48" s="554"/>
      <c r="H48" s="554"/>
      <c r="I48" s="554"/>
      <c r="J48" s="554"/>
      <c r="K48" s="554"/>
      <c r="L48" s="554"/>
      <c r="M48" s="554"/>
      <c r="N48" s="554"/>
      <c r="O48" s="554"/>
      <c r="P48" s="554"/>
      <c r="Q48" s="554"/>
      <c r="R48" s="554"/>
      <c r="S48" s="554"/>
      <c r="T48" s="554"/>
      <c r="U48" s="555"/>
    </row>
    <row r="49" spans="1:21">
      <c r="A49" s="73"/>
      <c r="C49" s="553"/>
      <c r="D49" s="554"/>
      <c r="E49" s="554"/>
      <c r="F49" s="554"/>
      <c r="G49" s="554"/>
      <c r="H49" s="554"/>
      <c r="I49" s="554"/>
      <c r="J49" s="554"/>
      <c r="K49" s="554"/>
      <c r="L49" s="554"/>
      <c r="M49" s="554"/>
      <c r="N49" s="554"/>
      <c r="O49" s="554"/>
      <c r="P49" s="554"/>
      <c r="Q49" s="554"/>
      <c r="R49" s="554"/>
      <c r="S49" s="554"/>
      <c r="T49" s="554"/>
      <c r="U49" s="555"/>
    </row>
    <row r="50" spans="1:21" ht="13.15" thickBot="1">
      <c r="A50" s="73"/>
      <c r="C50" s="556"/>
      <c r="D50" s="557"/>
      <c r="E50" s="557"/>
      <c r="F50" s="557"/>
      <c r="G50" s="557"/>
      <c r="H50" s="557"/>
      <c r="I50" s="557"/>
      <c r="J50" s="557"/>
      <c r="K50" s="557"/>
      <c r="L50" s="557"/>
      <c r="M50" s="557"/>
      <c r="N50" s="557"/>
      <c r="O50" s="557"/>
      <c r="P50" s="557"/>
      <c r="Q50" s="557"/>
      <c r="R50" s="557"/>
      <c r="S50" s="557"/>
      <c r="T50" s="557"/>
      <c r="U50" s="558"/>
    </row>
    <row r="51" spans="1:21" ht="13.15" thickBot="1">
      <c r="A51" s="73"/>
      <c r="C51" s="157"/>
      <c r="D51" s="158"/>
      <c r="E51" s="158"/>
      <c r="F51" s="158"/>
      <c r="G51" s="158"/>
      <c r="H51" s="158"/>
      <c r="I51" s="158"/>
      <c r="J51" s="158"/>
      <c r="K51" s="158"/>
      <c r="L51" s="158"/>
      <c r="M51" s="158"/>
      <c r="N51" s="158"/>
      <c r="O51" s="158"/>
      <c r="P51" s="158"/>
      <c r="Q51" s="158"/>
      <c r="R51" s="158"/>
      <c r="S51" s="158"/>
      <c r="T51" s="158"/>
      <c r="U51" s="159"/>
    </row>
    <row r="52" spans="1:21" ht="13.15">
      <c r="A52" s="73"/>
      <c r="C52" s="153" t="s">
        <v>276</v>
      </c>
      <c r="D52" s="154"/>
      <c r="E52" s="154"/>
      <c r="F52" s="154"/>
      <c r="G52" s="154"/>
      <c r="H52" s="154"/>
      <c r="I52" s="154"/>
      <c r="J52" s="154"/>
      <c r="K52" s="154"/>
      <c r="L52" s="154"/>
      <c r="M52" s="154"/>
      <c r="N52" s="154"/>
      <c r="O52" s="154"/>
      <c r="P52" s="154"/>
      <c r="Q52" s="154"/>
      <c r="R52" s="154"/>
      <c r="S52" s="155"/>
      <c r="T52" s="155"/>
      <c r="U52" s="156"/>
    </row>
    <row r="53" spans="1:21">
      <c r="A53" s="73"/>
      <c r="C53" s="553" t="s">
        <v>281</v>
      </c>
      <c r="D53" s="554"/>
      <c r="E53" s="554"/>
      <c r="F53" s="554"/>
      <c r="G53" s="554"/>
      <c r="H53" s="554"/>
      <c r="I53" s="554"/>
      <c r="J53" s="554"/>
      <c r="K53" s="554"/>
      <c r="L53" s="554"/>
      <c r="M53" s="554"/>
      <c r="N53" s="554"/>
      <c r="O53" s="554"/>
      <c r="P53" s="554"/>
      <c r="Q53" s="554"/>
      <c r="R53" s="554"/>
      <c r="S53" s="554"/>
      <c r="T53" s="554"/>
      <c r="U53" s="555"/>
    </row>
    <row r="54" spans="1:21">
      <c r="A54" s="73"/>
      <c r="C54" s="553"/>
      <c r="D54" s="554"/>
      <c r="E54" s="554"/>
      <c r="F54" s="554"/>
      <c r="G54" s="554"/>
      <c r="H54" s="554"/>
      <c r="I54" s="554"/>
      <c r="J54" s="554"/>
      <c r="K54" s="554"/>
      <c r="L54" s="554"/>
      <c r="M54" s="554"/>
      <c r="N54" s="554"/>
      <c r="O54" s="554"/>
      <c r="P54" s="554"/>
      <c r="Q54" s="554"/>
      <c r="R54" s="554"/>
      <c r="S54" s="554"/>
      <c r="T54" s="554"/>
      <c r="U54" s="555"/>
    </row>
    <row r="55" spans="1:21">
      <c r="A55" s="73"/>
      <c r="C55" s="553"/>
      <c r="D55" s="554"/>
      <c r="E55" s="554"/>
      <c r="F55" s="554"/>
      <c r="G55" s="554"/>
      <c r="H55" s="554"/>
      <c r="I55" s="554"/>
      <c r="J55" s="554"/>
      <c r="K55" s="554"/>
      <c r="L55" s="554"/>
      <c r="M55" s="554"/>
      <c r="N55" s="554"/>
      <c r="O55" s="554"/>
      <c r="P55" s="554"/>
      <c r="Q55" s="554"/>
      <c r="R55" s="554"/>
      <c r="S55" s="554"/>
      <c r="T55" s="554"/>
      <c r="U55" s="555"/>
    </row>
    <row r="56" spans="1:21">
      <c r="A56" s="73"/>
      <c r="C56" s="553"/>
      <c r="D56" s="554"/>
      <c r="E56" s="554"/>
      <c r="F56" s="554"/>
      <c r="G56" s="554"/>
      <c r="H56" s="554"/>
      <c r="I56" s="554"/>
      <c r="J56" s="554"/>
      <c r="K56" s="554"/>
      <c r="L56" s="554"/>
      <c r="M56" s="554"/>
      <c r="N56" s="554"/>
      <c r="O56" s="554"/>
      <c r="P56" s="554"/>
      <c r="Q56" s="554"/>
      <c r="R56" s="554"/>
      <c r="S56" s="554"/>
      <c r="T56" s="554"/>
      <c r="U56" s="555"/>
    </row>
    <row r="57" spans="1:21" ht="13.15" thickBot="1">
      <c r="A57" s="73"/>
      <c r="C57" s="556"/>
      <c r="D57" s="557"/>
      <c r="E57" s="557"/>
      <c r="F57" s="557"/>
      <c r="G57" s="557"/>
      <c r="H57" s="557"/>
      <c r="I57" s="557"/>
      <c r="J57" s="557"/>
      <c r="K57" s="557"/>
      <c r="L57" s="557"/>
      <c r="M57" s="557"/>
      <c r="N57" s="557"/>
      <c r="O57" s="557"/>
      <c r="P57" s="557"/>
      <c r="Q57" s="557"/>
      <c r="R57" s="557"/>
      <c r="S57" s="557"/>
      <c r="T57" s="557"/>
      <c r="U57" s="558"/>
    </row>
  </sheetData>
  <mergeCells count="8">
    <mergeCell ref="C4:U8"/>
    <mergeCell ref="C53:U57"/>
    <mergeCell ref="C11:U15"/>
    <mergeCell ref="C18:U22"/>
    <mergeCell ref="C25:U29"/>
    <mergeCell ref="C32:U36"/>
    <mergeCell ref="C39:U43"/>
    <mergeCell ref="C46:U50"/>
  </mergeCells>
  <pageMargins left="0.7" right="0.7" top="0.75" bottom="0.75" header="0.3" footer="0.3"/>
  <pageSetup scale="49" orientation="portrait" r:id="rId1"/>
  <headerFooter>
    <oddFooter>&amp;C&amp;"Copperplate Gothic Light,Bold"&amp;16&amp;K04-049Chavis Capital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159"/>
  <sheetViews>
    <sheetView topLeftCell="A129" workbookViewId="0">
      <selection activeCell="C159" sqref="C159"/>
    </sheetView>
  </sheetViews>
  <sheetFormatPr defaultRowHeight="12.75"/>
  <cols>
    <col min="1" max="1" width="22.3984375" bestFit="1" customWidth="1"/>
    <col min="2" max="2" width="27.53125" bestFit="1" customWidth="1"/>
    <col min="3" max="3" width="8.73046875" bestFit="1" customWidth="1"/>
    <col min="4" max="11" width="7.6640625" bestFit="1" customWidth="1"/>
    <col min="12" max="14" width="8.73046875" bestFit="1" customWidth="1"/>
    <col min="15" max="15" width="2" bestFit="1" customWidth="1"/>
  </cols>
  <sheetData>
    <row r="2" spans="1:15">
      <c r="A2" t="s">
        <v>445</v>
      </c>
      <c r="C2" s="518">
        <v>1</v>
      </c>
      <c r="D2" s="518">
        <f>+C2+1</f>
        <v>2</v>
      </c>
      <c r="E2" s="518">
        <f t="shared" ref="E2:N2" si="0">+D2+1</f>
        <v>3</v>
      </c>
      <c r="F2" s="518">
        <f t="shared" si="0"/>
        <v>4</v>
      </c>
      <c r="G2" s="518">
        <f t="shared" si="0"/>
        <v>5</v>
      </c>
      <c r="H2" s="518">
        <f t="shared" si="0"/>
        <v>6</v>
      </c>
      <c r="I2" s="518">
        <f t="shared" si="0"/>
        <v>7</v>
      </c>
      <c r="J2" s="518">
        <f t="shared" si="0"/>
        <v>8</v>
      </c>
      <c r="K2" s="518">
        <f t="shared" si="0"/>
        <v>9</v>
      </c>
      <c r="L2" s="518">
        <f t="shared" si="0"/>
        <v>10</v>
      </c>
      <c r="M2" s="518">
        <f t="shared" si="0"/>
        <v>11</v>
      </c>
      <c r="N2" s="518">
        <f t="shared" si="0"/>
        <v>12</v>
      </c>
    </row>
    <row r="3" spans="1:15">
      <c r="B3" t="s">
        <v>447</v>
      </c>
      <c r="C3" s="522"/>
      <c r="D3" s="522"/>
      <c r="E3" s="522"/>
      <c r="F3" s="522"/>
      <c r="G3" s="522"/>
      <c r="H3" s="522"/>
      <c r="I3" s="522"/>
      <c r="J3" s="522"/>
      <c r="K3" s="522"/>
      <c r="L3" s="522"/>
      <c r="M3" s="522"/>
      <c r="N3" s="522"/>
      <c r="O3">
        <f>+SUM(C3:N3)</f>
        <v>0</v>
      </c>
    </row>
    <row r="4" spans="1:15">
      <c r="B4" s="520" t="s">
        <v>448</v>
      </c>
      <c r="C4" s="11">
        <f>+O3/U</f>
        <v>0</v>
      </c>
    </row>
    <row r="6" spans="1:15">
      <c r="A6" t="s">
        <v>446</v>
      </c>
    </row>
    <row r="7" spans="1:15">
      <c r="B7" t="s">
        <v>449</v>
      </c>
      <c r="C7" s="528"/>
    </row>
    <row r="8" spans="1:15">
      <c r="B8" t="s">
        <v>450</v>
      </c>
      <c r="C8" s="523"/>
    </row>
    <row r="9" spans="1:15">
      <c r="B9" t="s">
        <v>451</v>
      </c>
      <c r="C9" s="523"/>
    </row>
    <row r="10" spans="1:15">
      <c r="B10" s="520" t="s">
        <v>448</v>
      </c>
      <c r="C10" s="5" t="e">
        <f>+C7/YEARFRAC(C8,C9)</f>
        <v>#DIV/0!</v>
      </c>
    </row>
    <row r="12" spans="1:15">
      <c r="A12" t="s">
        <v>452</v>
      </c>
    </row>
    <row r="13" spans="1:15">
      <c r="B13" t="s">
        <v>453</v>
      </c>
      <c r="C13" s="527"/>
    </row>
    <row r="14" spans="1:15">
      <c r="B14" t="s">
        <v>13</v>
      </c>
      <c r="C14" s="527"/>
    </row>
    <row r="15" spans="1:15">
      <c r="B15" t="s">
        <v>476</v>
      </c>
      <c r="C15" s="522"/>
    </row>
    <row r="16" spans="1:15">
      <c r="B16" t="s">
        <v>454</v>
      </c>
      <c r="C16" s="524"/>
    </row>
    <row r="17" spans="1:3">
      <c r="B17" s="520" t="s">
        <v>448</v>
      </c>
      <c r="C17" s="525" t="e">
        <f>+(C13-C14)*C16/C15/12</f>
        <v>#DIV/0!</v>
      </c>
    </row>
    <row r="19" spans="1:3">
      <c r="A19" t="s">
        <v>455</v>
      </c>
    </row>
    <row r="20" spans="1:3">
      <c r="B20" t="s">
        <v>452</v>
      </c>
      <c r="C20" s="525" t="e">
        <f>+C17</f>
        <v>#DIV/0!</v>
      </c>
    </row>
    <row r="21" spans="1:3">
      <c r="B21" t="s">
        <v>456</v>
      </c>
      <c r="C21" s="527"/>
    </row>
    <row r="22" spans="1:3">
      <c r="B22" s="520" t="s">
        <v>448</v>
      </c>
      <c r="C22" s="525" t="e">
        <f>+C21-C20</f>
        <v>#DIV/0!</v>
      </c>
    </row>
    <row r="23" spans="1:3">
      <c r="B23" s="520" t="s">
        <v>448</v>
      </c>
      <c r="C23" s="521" t="e">
        <f>+C21/C20-1</f>
        <v>#DIV/0!</v>
      </c>
    </row>
    <row r="25" spans="1:3">
      <c r="A25" t="s">
        <v>457</v>
      </c>
    </row>
    <row r="26" spans="1:3">
      <c r="B26" t="s">
        <v>458</v>
      </c>
      <c r="C26" s="528"/>
    </row>
    <row r="27" spans="1:3">
      <c r="B27" t="s">
        <v>476</v>
      </c>
      <c r="C27">
        <f>+C15</f>
        <v>0</v>
      </c>
    </row>
    <row r="28" spans="1:3">
      <c r="B28" s="520" t="s">
        <v>448</v>
      </c>
      <c r="C28" t="e">
        <f>+C26/C27</f>
        <v>#DIV/0!</v>
      </c>
    </row>
    <row r="30" spans="1:3">
      <c r="A30" t="s">
        <v>459</v>
      </c>
    </row>
    <row r="31" spans="1:3">
      <c r="B31" t="s">
        <v>36</v>
      </c>
      <c r="C31" s="527"/>
    </row>
    <row r="32" spans="1:3">
      <c r="B32" t="s">
        <v>460</v>
      </c>
      <c r="C32" s="529">
        <f t="shared" ref="C32" si="1">+C34*1000*12</f>
        <v>0</v>
      </c>
    </row>
    <row r="33" spans="1:3">
      <c r="B33" s="520" t="s">
        <v>448</v>
      </c>
      <c r="C33" s="530" t="e">
        <f>+C31/C32</f>
        <v>#DIV/0!</v>
      </c>
    </row>
    <row r="35" spans="1:3">
      <c r="A35" t="s">
        <v>461</v>
      </c>
    </row>
    <row r="36" spans="1:3">
      <c r="B36" t="s">
        <v>462</v>
      </c>
      <c r="C36" s="528"/>
    </row>
    <row r="37" spans="1:3">
      <c r="B37" t="s">
        <v>463</v>
      </c>
      <c r="C37" s="528"/>
    </row>
    <row r="38" spans="1:3">
      <c r="B38" s="520" t="s">
        <v>448</v>
      </c>
      <c r="C38" s="11" t="e">
        <f>+C36/C37</f>
        <v>#DIV/0!</v>
      </c>
    </row>
    <row r="40" spans="1:3">
      <c r="A40" t="s">
        <v>464</v>
      </c>
    </row>
    <row r="41" spans="1:3">
      <c r="B41" t="s">
        <v>465</v>
      </c>
      <c r="C41" s="527"/>
    </row>
    <row r="42" spans="1:3">
      <c r="B42" t="s">
        <v>462</v>
      </c>
      <c r="C42" s="531">
        <f>+C36</f>
        <v>0</v>
      </c>
    </row>
    <row r="43" spans="1:3">
      <c r="B43" s="520" t="s">
        <v>448</v>
      </c>
      <c r="C43" s="525" t="e">
        <f>+C41/C42</f>
        <v>#DIV/0!</v>
      </c>
    </row>
    <row r="45" spans="1:3">
      <c r="A45" t="s">
        <v>466</v>
      </c>
    </row>
    <row r="46" spans="1:3">
      <c r="B46" t="s">
        <v>465</v>
      </c>
      <c r="C46" s="532">
        <f>+C41</f>
        <v>0</v>
      </c>
    </row>
    <row r="47" spans="1:3">
      <c r="B47" t="s">
        <v>463</v>
      </c>
      <c r="C47" s="531">
        <f>+C37</f>
        <v>0</v>
      </c>
    </row>
    <row r="48" spans="1:3">
      <c r="B48" s="520" t="s">
        <v>448</v>
      </c>
      <c r="C48" s="525" t="e">
        <f>+C46/C47</f>
        <v>#DIV/0!</v>
      </c>
    </row>
    <row r="50" spans="1:3">
      <c r="A50" t="s">
        <v>467</v>
      </c>
    </row>
    <row r="51" spans="1:3">
      <c r="B51" t="s">
        <v>469</v>
      </c>
      <c r="C51" s="527"/>
    </row>
    <row r="52" spans="1:3">
      <c r="B52" t="s">
        <v>11</v>
      </c>
      <c r="C52" s="527"/>
    </row>
    <row r="53" spans="1:3">
      <c r="B53" s="520" t="s">
        <v>448</v>
      </c>
      <c r="C53" s="525" t="e">
        <f>+C51/C52</f>
        <v>#DIV/0!</v>
      </c>
    </row>
    <row r="55" spans="1:3">
      <c r="A55" t="s">
        <v>470</v>
      </c>
    </row>
    <row r="56" spans="1:3">
      <c r="B56" t="s">
        <v>9</v>
      </c>
      <c r="C56" s="527"/>
    </row>
    <row r="57" spans="1:3">
      <c r="B57" t="s">
        <v>471</v>
      </c>
      <c r="C57" s="528"/>
    </row>
    <row r="58" spans="1:3">
      <c r="B58" t="s">
        <v>13</v>
      </c>
      <c r="C58" s="527"/>
    </row>
    <row r="59" spans="1:3">
      <c r="B59" s="520" t="s">
        <v>448</v>
      </c>
      <c r="C59" s="530" t="e">
        <f>+(C56-C58)/C57</f>
        <v>#DIV/0!</v>
      </c>
    </row>
    <row r="61" spans="1:3">
      <c r="A61" t="s">
        <v>472</v>
      </c>
    </row>
    <row r="62" spans="1:3">
      <c r="B62" t="s">
        <v>473</v>
      </c>
      <c r="C62" s="528"/>
    </row>
    <row r="63" spans="1:3">
      <c r="B63" t="s">
        <v>474</v>
      </c>
      <c r="C63" s="528">
        <f>+C15-C62</f>
        <v>0</v>
      </c>
    </row>
    <row r="64" spans="1:3">
      <c r="B64" t="s">
        <v>475</v>
      </c>
      <c r="C64" s="527"/>
    </row>
    <row r="65" spans="1:3">
      <c r="B65" t="s">
        <v>9</v>
      </c>
      <c r="C65" s="533">
        <f>+C56</f>
        <v>0</v>
      </c>
    </row>
    <row r="66" spans="1:3">
      <c r="B66" s="520" t="s">
        <v>448</v>
      </c>
      <c r="C66" s="532">
        <f>+C62*C64+C63*C65</f>
        <v>0</v>
      </c>
    </row>
    <row r="68" spans="1:3">
      <c r="A68" t="s">
        <v>11</v>
      </c>
    </row>
    <row r="69" spans="1:3">
      <c r="B69" t="s">
        <v>476</v>
      </c>
      <c r="C69">
        <f>+C27</f>
        <v>0</v>
      </c>
    </row>
    <row r="70" spans="1:3">
      <c r="B70" t="s">
        <v>9</v>
      </c>
      <c r="C70" s="532">
        <f>+C65</f>
        <v>0</v>
      </c>
    </row>
    <row r="71" spans="1:3">
      <c r="B71" s="520" t="s">
        <v>448</v>
      </c>
      <c r="C71" s="532">
        <f>+C69*C70</f>
        <v>0</v>
      </c>
    </row>
    <row r="73" spans="1:3">
      <c r="A73" t="s">
        <v>477</v>
      </c>
    </row>
    <row r="74" spans="1:3">
      <c r="B74" t="s">
        <v>478</v>
      </c>
      <c r="C74" s="526"/>
    </row>
    <row r="75" spans="1:3">
      <c r="B75" t="s">
        <v>479</v>
      </c>
      <c r="C75">
        <v>2080</v>
      </c>
    </row>
    <row r="76" spans="1:3">
      <c r="B76" s="520" t="s">
        <v>448</v>
      </c>
      <c r="C76">
        <f>+C74*C75</f>
        <v>0</v>
      </c>
    </row>
    <row r="78" spans="1:3">
      <c r="A78" t="s">
        <v>480</v>
      </c>
    </row>
    <row r="79" spans="1:3">
      <c r="B79" t="s">
        <v>474</v>
      </c>
      <c r="C79" s="531">
        <f>+C63</f>
        <v>0</v>
      </c>
    </row>
    <row r="80" spans="1:3">
      <c r="B80" t="s">
        <v>481</v>
      </c>
      <c r="C80" s="528"/>
    </row>
    <row r="81" spans="1:3">
      <c r="B81" t="s">
        <v>482</v>
      </c>
      <c r="C81" s="528"/>
    </row>
    <row r="82" spans="1:3">
      <c r="B82" s="520" t="s">
        <v>448</v>
      </c>
      <c r="C82" s="531">
        <f>+C79+C80-C81</f>
        <v>0</v>
      </c>
    </row>
    <row r="83" spans="1:3">
      <c r="B83" s="520" t="s">
        <v>448</v>
      </c>
      <c r="C83" s="521" t="e">
        <f>+C82/C27</f>
        <v>#DIV/0!</v>
      </c>
    </row>
    <row r="85" spans="1:3">
      <c r="A85" t="s">
        <v>483</v>
      </c>
    </row>
    <row r="86" spans="1:3">
      <c r="B86" t="s">
        <v>484</v>
      </c>
      <c r="C86" s="528"/>
    </row>
    <row r="87" spans="1:3">
      <c r="B87" t="s">
        <v>476</v>
      </c>
      <c r="C87">
        <f>+C27</f>
        <v>0</v>
      </c>
    </row>
    <row r="88" spans="1:3">
      <c r="B88" s="520" t="s">
        <v>448</v>
      </c>
      <c r="C88" t="e">
        <f>+C86/C87</f>
        <v>#DIV/0!</v>
      </c>
    </row>
    <row r="90" spans="1:3">
      <c r="A90" t="s">
        <v>36</v>
      </c>
    </row>
    <row r="91" spans="1:3">
      <c r="B91" t="s">
        <v>301</v>
      </c>
      <c r="C91" s="527"/>
    </row>
    <row r="92" spans="1:3">
      <c r="B92" t="s">
        <v>485</v>
      </c>
      <c r="C92" s="527"/>
    </row>
    <row r="93" spans="1:3">
      <c r="B93" s="520" t="s">
        <v>448</v>
      </c>
      <c r="C93" s="530">
        <f>+C91-C92</f>
        <v>0</v>
      </c>
    </row>
    <row r="95" spans="1:3">
      <c r="A95" t="s">
        <v>486</v>
      </c>
    </row>
    <row r="96" spans="1:3">
      <c r="B96" t="s">
        <v>485</v>
      </c>
      <c r="C96" s="532">
        <f>+C92</f>
        <v>0</v>
      </c>
    </row>
    <row r="97" spans="1:3">
      <c r="B97" t="s">
        <v>476</v>
      </c>
      <c r="C97">
        <f>+C87</f>
        <v>0</v>
      </c>
    </row>
    <row r="98" spans="1:3">
      <c r="B98" s="520" t="s">
        <v>448</v>
      </c>
      <c r="C98" s="530" t="e">
        <f>+C96/C97</f>
        <v>#DIV/0!</v>
      </c>
    </row>
    <row r="99" spans="1:3">
      <c r="A99" t="s">
        <v>487</v>
      </c>
      <c r="B99" s="520" t="s">
        <v>448</v>
      </c>
      <c r="C99" s="64" t="e">
        <f>+C96/C91</f>
        <v>#DIV/0!</v>
      </c>
    </row>
    <row r="101" spans="1:3">
      <c r="A101" t="s">
        <v>488</v>
      </c>
    </row>
    <row r="102" spans="1:3">
      <c r="B102" t="s">
        <v>468</v>
      </c>
      <c r="C102" s="527"/>
    </row>
    <row r="103" spans="1:3">
      <c r="B103" t="s">
        <v>489</v>
      </c>
      <c r="C103" s="527"/>
    </row>
    <row r="104" spans="1:3">
      <c r="B104" s="520" t="s">
        <v>448</v>
      </c>
      <c r="C104" s="530" t="e">
        <f>+C102/C103</f>
        <v>#DIV/0!</v>
      </c>
    </row>
    <row r="106" spans="1:3">
      <c r="A106" t="s">
        <v>490</v>
      </c>
    </row>
    <row r="107" spans="1:3">
      <c r="B107" t="s">
        <v>468</v>
      </c>
      <c r="C107" s="532">
        <f>+C102</f>
        <v>0</v>
      </c>
    </row>
    <row r="108" spans="1:3">
      <c r="B108" t="s">
        <v>491</v>
      </c>
      <c r="C108" s="528"/>
    </row>
    <row r="109" spans="1:3">
      <c r="A109" s="332" t="s">
        <v>493</v>
      </c>
      <c r="B109" t="s">
        <v>448</v>
      </c>
      <c r="C109" s="64" t="e">
        <f>+C107/C108</f>
        <v>#DIV/0!</v>
      </c>
    </row>
    <row r="110" spans="1:3">
      <c r="B110" t="s">
        <v>492</v>
      </c>
      <c r="C110" s="528"/>
    </row>
    <row r="111" spans="1:3">
      <c r="B111" t="s">
        <v>448</v>
      </c>
      <c r="C111" s="530" t="e">
        <f>+C109*C110</f>
        <v>#DIV/0!</v>
      </c>
    </row>
    <row r="113" spans="1:3">
      <c r="A113" t="s">
        <v>494</v>
      </c>
    </row>
    <row r="114" spans="1:3">
      <c r="B114" t="s">
        <v>496</v>
      </c>
      <c r="C114" s="534"/>
    </row>
    <row r="115" spans="1:3">
      <c r="B115" t="s">
        <v>495</v>
      </c>
      <c r="C115" s="534"/>
    </row>
    <row r="116" spans="1:3">
      <c r="B116" t="s">
        <v>448</v>
      </c>
      <c r="C116" t="e">
        <f>+C114/C115</f>
        <v>#DIV/0!</v>
      </c>
    </row>
    <row r="118" spans="1:3">
      <c r="A118" t="s">
        <v>497</v>
      </c>
    </row>
    <row r="119" spans="1:3">
      <c r="B119" t="s">
        <v>498</v>
      </c>
      <c r="C119" s="534"/>
    </row>
    <row r="120" spans="1:3">
      <c r="B120" t="s">
        <v>499</v>
      </c>
      <c r="C120" s="534"/>
    </row>
    <row r="121" spans="1:3">
      <c r="B121" t="s">
        <v>448</v>
      </c>
      <c r="C121" s="521" t="e">
        <f>+C119/C120</f>
        <v>#DIV/0!</v>
      </c>
    </row>
    <row r="123" spans="1:3">
      <c r="A123" t="s">
        <v>500</v>
      </c>
    </row>
    <row r="124" spans="1:3">
      <c r="B124" t="s">
        <v>501</v>
      </c>
      <c r="C124" s="534"/>
    </row>
    <row r="125" spans="1:3">
      <c r="B125" t="s">
        <v>502</v>
      </c>
      <c r="C125" s="534"/>
    </row>
    <row r="126" spans="1:3">
      <c r="B126" t="s">
        <v>448</v>
      </c>
      <c r="C126" s="521" t="e">
        <f>+C124/C125</f>
        <v>#DIV/0!</v>
      </c>
    </row>
    <row r="128" spans="1:3">
      <c r="A128" t="s">
        <v>503</v>
      </c>
    </row>
    <row r="129" spans="1:3">
      <c r="B129" t="s">
        <v>11</v>
      </c>
      <c r="C129" s="533">
        <f>+C71</f>
        <v>0</v>
      </c>
    </row>
    <row r="130" spans="1:3">
      <c r="B130" t="s">
        <v>12</v>
      </c>
      <c r="C130" s="527"/>
    </row>
    <row r="131" spans="1:3">
      <c r="B131" t="s">
        <v>13</v>
      </c>
      <c r="C131" s="527"/>
    </row>
    <row r="132" spans="1:3">
      <c r="B132" t="s">
        <v>504</v>
      </c>
      <c r="C132" s="527"/>
    </row>
    <row r="133" spans="1:3">
      <c r="B133" t="s">
        <v>15</v>
      </c>
      <c r="C133" s="527"/>
    </row>
    <row r="134" spans="1:3">
      <c r="B134" t="s">
        <v>448</v>
      </c>
      <c r="C134" s="532">
        <f>+C129-SUM(C130:C133)</f>
        <v>0</v>
      </c>
    </row>
    <row r="136" spans="1:3">
      <c r="A136" t="s">
        <v>505</v>
      </c>
    </row>
    <row r="137" spans="1:3">
      <c r="B137" t="s">
        <v>506</v>
      </c>
      <c r="C137" s="527"/>
    </row>
    <row r="138" spans="1:3">
      <c r="B138" t="s">
        <v>476</v>
      </c>
      <c r="C138">
        <f>+C27</f>
        <v>0</v>
      </c>
    </row>
    <row r="139" spans="1:3">
      <c r="B139" t="s">
        <v>448</v>
      </c>
      <c r="C139" s="521" t="e">
        <f>+C137/C138</f>
        <v>#DIV/0!</v>
      </c>
    </row>
    <row r="141" spans="1:3">
      <c r="A141" t="s">
        <v>507</v>
      </c>
    </row>
    <row r="142" spans="1:3">
      <c r="B142" t="s">
        <v>474</v>
      </c>
      <c r="C142" s="531">
        <f>+C63</f>
        <v>0</v>
      </c>
    </row>
    <row r="143" spans="1:3">
      <c r="B143" t="s">
        <v>476</v>
      </c>
      <c r="C143">
        <f>+C15</f>
        <v>0</v>
      </c>
    </row>
    <row r="144" spans="1:3">
      <c r="B144" t="s">
        <v>448</v>
      </c>
      <c r="C144" s="521" t="e">
        <f>+C142/C143</f>
        <v>#DIV/0!</v>
      </c>
    </row>
    <row r="146" spans="1:3">
      <c r="A146" t="s">
        <v>508</v>
      </c>
    </row>
    <row r="147" spans="1:3">
      <c r="B147" t="s">
        <v>509</v>
      </c>
      <c r="C147" s="527"/>
    </row>
    <row r="148" spans="1:3">
      <c r="B148" t="s">
        <v>510</v>
      </c>
      <c r="C148" s="527"/>
    </row>
    <row r="149" spans="1:3">
      <c r="B149" t="s">
        <v>448</v>
      </c>
      <c r="C149" s="521" t="e">
        <f>+(C147-C148)/C148</f>
        <v>#DIV/0!</v>
      </c>
    </row>
    <row r="151" spans="1:3">
      <c r="A151" t="s">
        <v>514</v>
      </c>
    </row>
    <row r="152" spans="1:3">
      <c r="B152" t="s">
        <v>511</v>
      </c>
      <c r="C152" s="519"/>
    </row>
    <row r="153" spans="1:3">
      <c r="B153" t="s">
        <v>512</v>
      </c>
      <c r="C153" s="519"/>
    </row>
    <row r="154" spans="1:3">
      <c r="B154" t="s">
        <v>448</v>
      </c>
      <c r="C154" s="530">
        <f>+C152*C153</f>
        <v>0</v>
      </c>
    </row>
    <row r="156" spans="1:3">
      <c r="A156" t="s">
        <v>513</v>
      </c>
    </row>
    <row r="157" spans="1:3">
      <c r="B157" t="s">
        <v>515</v>
      </c>
      <c r="C157" s="519"/>
    </row>
    <row r="158" spans="1:3">
      <c r="B158" t="s">
        <v>265</v>
      </c>
      <c r="C158" s="519"/>
    </row>
    <row r="159" spans="1:3">
      <c r="B159" t="s">
        <v>448</v>
      </c>
      <c r="C159" s="530">
        <f>+C157*C158</f>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AE65"/>
  <sheetViews>
    <sheetView topLeftCell="H1" zoomScaleNormal="100" workbookViewId="0">
      <selection activeCell="L30" sqref="L30"/>
    </sheetView>
  </sheetViews>
  <sheetFormatPr defaultRowHeight="12.75"/>
  <cols>
    <col min="1" max="1" width="2.3984375" customWidth="1"/>
    <col min="2" max="2" width="0.6640625" customWidth="1"/>
    <col min="3" max="3" width="16.86328125" bestFit="1" customWidth="1"/>
    <col min="4" max="4" width="12.1328125" bestFit="1" customWidth="1"/>
    <col min="5" max="5" width="13.46484375" bestFit="1" customWidth="1"/>
    <col min="6" max="6" width="23.46484375" bestFit="1" customWidth="1"/>
    <col min="7" max="7" width="14.265625" bestFit="1" customWidth="1"/>
    <col min="8" max="8" width="27.9296875" bestFit="1" customWidth="1"/>
    <col min="9" max="9" width="17.796875" bestFit="1" customWidth="1"/>
    <col min="10" max="10" width="16.06640625" bestFit="1" customWidth="1"/>
    <col min="11" max="11" width="21" bestFit="1" customWidth="1"/>
    <col min="12" max="12" width="15" bestFit="1" customWidth="1"/>
    <col min="13" max="21" width="10.6640625" bestFit="1" customWidth="1"/>
    <col min="22" max="22" width="5.796875" bestFit="1" customWidth="1"/>
    <col min="23" max="23" width="7.265625" bestFit="1" customWidth="1"/>
    <col min="24" max="24" width="9.59765625" bestFit="1" customWidth="1"/>
    <col min="25" max="25" width="18.73046875" bestFit="1" customWidth="1"/>
    <col min="26" max="26" width="14" bestFit="1" customWidth="1"/>
    <col min="27" max="27" width="23.19921875" bestFit="1" customWidth="1"/>
    <col min="28" max="28" width="14" bestFit="1" customWidth="1"/>
    <col min="29" max="29" width="9.33203125" bestFit="1" customWidth="1"/>
    <col min="30" max="30" width="19.1328125" bestFit="1" customWidth="1"/>
    <col min="31" max="31" width="7.265625" bestFit="1" customWidth="1"/>
  </cols>
  <sheetData>
    <row r="1" spans="1:31" ht="30">
      <c r="A1" s="74" t="str">
        <f ca="1">MID(CELL("filename",A1),FIND("]",CELL("filename",A1))+1,255)</f>
        <v>Calculations</v>
      </c>
      <c r="B1" s="74"/>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409">
        <f>+Name</f>
        <v>0</v>
      </c>
    </row>
    <row r="2" spans="1:31" ht="3.75" customHeight="1">
      <c r="A2" s="74"/>
      <c r="B2" s="163"/>
      <c r="C2" s="3"/>
      <c r="D2" s="3"/>
      <c r="E2" s="3"/>
      <c r="F2" s="3"/>
      <c r="G2" s="3"/>
      <c r="H2" s="3"/>
      <c r="I2" s="3"/>
      <c r="J2" s="3"/>
      <c r="K2" s="3"/>
      <c r="L2" s="3"/>
    </row>
    <row r="3" spans="1:31" ht="20.25">
      <c r="A3" s="73"/>
      <c r="B3" s="3"/>
      <c r="C3" s="331" t="s">
        <v>37</v>
      </c>
      <c r="H3" s="331" t="s">
        <v>25</v>
      </c>
      <c r="I3" s="4"/>
      <c r="J3" s="4"/>
    </row>
    <row r="4" spans="1:31" ht="13.15">
      <c r="A4" s="73"/>
      <c r="B4" s="3"/>
      <c r="D4" s="281" t="s">
        <v>98</v>
      </c>
      <c r="E4" s="281" t="s">
        <v>371</v>
      </c>
      <c r="F4" s="281" t="s">
        <v>369</v>
      </c>
      <c r="H4" s="13" t="s">
        <v>103</v>
      </c>
      <c r="I4" s="85" t="s">
        <v>104</v>
      </c>
      <c r="J4" s="85" t="s">
        <v>96</v>
      </c>
      <c r="K4" s="85" t="s">
        <v>111</v>
      </c>
      <c r="L4" s="85" t="s">
        <v>109</v>
      </c>
      <c r="M4" s="85" t="s">
        <v>110</v>
      </c>
      <c r="N4" s="85" t="s">
        <v>112</v>
      </c>
      <c r="O4" s="85" t="s">
        <v>113</v>
      </c>
    </row>
    <row r="5" spans="1:31" ht="13.15">
      <c r="A5" s="73"/>
      <c r="B5" s="3"/>
      <c r="C5" t="s">
        <v>17</v>
      </c>
      <c r="D5" s="333">
        <v>0.7</v>
      </c>
      <c r="E5" s="338" t="s">
        <v>370</v>
      </c>
      <c r="F5" s="27">
        <f>+D5*SUM(Worksheet!G32:G35)</f>
        <v>0</v>
      </c>
      <c r="H5" s="332" t="s">
        <v>372</v>
      </c>
      <c r="I5" s="402">
        <v>0</v>
      </c>
      <c r="J5" s="402" t="s">
        <v>109</v>
      </c>
      <c r="K5" s="402">
        <v>40</v>
      </c>
      <c r="L5" s="337">
        <v>45000</v>
      </c>
      <c r="M5" s="335"/>
      <c r="N5" s="27">
        <f>+IF(J5="Salary",I5*L5,IF(J5="Hourly",I5*K5*M5*52,"Error"))</f>
        <v>0</v>
      </c>
      <c r="O5" s="337">
        <v>0</v>
      </c>
    </row>
    <row r="6" spans="1:31" ht="13.15">
      <c r="A6" s="73"/>
      <c r="B6" s="3"/>
      <c r="C6" t="s">
        <v>102</v>
      </c>
      <c r="D6" s="333">
        <v>0.5</v>
      </c>
      <c r="E6" s="337">
        <v>30</v>
      </c>
      <c r="F6" s="27">
        <f>+U*D6*E6*12</f>
        <v>7200</v>
      </c>
      <c r="H6" s="332" t="s">
        <v>373</v>
      </c>
      <c r="I6" s="402">
        <v>0</v>
      </c>
      <c r="J6" s="402" t="s">
        <v>110</v>
      </c>
      <c r="K6" s="402">
        <v>40</v>
      </c>
      <c r="L6" s="337"/>
      <c r="M6" s="335">
        <v>12.5</v>
      </c>
      <c r="N6" s="27">
        <f t="shared" ref="N6:N13" si="0">+IF(J6="Salary",I6*L6,IF(J6="Hourly",I6*K6*M6*52,"Error"))</f>
        <v>0</v>
      </c>
      <c r="O6" s="337">
        <v>0</v>
      </c>
    </row>
    <row r="7" spans="1:31" ht="13.15">
      <c r="A7" s="73"/>
      <c r="B7" s="3"/>
      <c r="C7" t="s">
        <v>101</v>
      </c>
      <c r="D7" s="333">
        <v>0.5</v>
      </c>
      <c r="E7" s="337">
        <v>10</v>
      </c>
      <c r="F7" s="27">
        <f>+U*D7*E7*12</f>
        <v>2400</v>
      </c>
      <c r="H7" s="332" t="s">
        <v>374</v>
      </c>
      <c r="I7" s="402">
        <v>0</v>
      </c>
      <c r="J7" s="402" t="s">
        <v>109</v>
      </c>
      <c r="K7" s="402">
        <v>40</v>
      </c>
      <c r="L7" s="337">
        <v>55000</v>
      </c>
      <c r="M7" s="335"/>
      <c r="N7" s="27">
        <f t="shared" si="0"/>
        <v>0</v>
      </c>
      <c r="O7" s="337">
        <v>0</v>
      </c>
    </row>
    <row r="8" spans="1:31" ht="13.15">
      <c r="A8" s="73"/>
      <c r="B8" s="3"/>
      <c r="C8" t="s">
        <v>18</v>
      </c>
      <c r="D8" s="333">
        <v>1</v>
      </c>
      <c r="E8" s="33">
        <f>+SUMPRODUCT(D9:D10,E9:E10,F9:F10)</f>
        <v>33</v>
      </c>
      <c r="F8" s="27">
        <f>+U*D8*E8*12</f>
        <v>15840</v>
      </c>
      <c r="H8" s="332" t="s">
        <v>375</v>
      </c>
      <c r="I8" s="402">
        <v>0</v>
      </c>
      <c r="J8" s="402" t="s">
        <v>110</v>
      </c>
      <c r="K8" s="402">
        <v>40</v>
      </c>
      <c r="L8" s="337"/>
      <c r="M8" s="335">
        <v>12.5</v>
      </c>
      <c r="N8" s="27">
        <f t="shared" si="0"/>
        <v>0</v>
      </c>
      <c r="O8" s="337">
        <v>0</v>
      </c>
    </row>
    <row r="9" spans="1:31" ht="13.15">
      <c r="A9" s="73"/>
      <c r="B9" s="3"/>
      <c r="C9" s="332" t="s">
        <v>99</v>
      </c>
      <c r="D9" s="334">
        <f>+ROUNDUP(U*15%,0)</f>
        <v>6</v>
      </c>
      <c r="E9" s="335">
        <v>1.5</v>
      </c>
      <c r="F9" s="336">
        <v>2</v>
      </c>
      <c r="H9" s="332" t="s">
        <v>376</v>
      </c>
      <c r="I9" s="402">
        <v>0</v>
      </c>
      <c r="J9" s="402" t="s">
        <v>110</v>
      </c>
      <c r="K9" s="402">
        <v>40</v>
      </c>
      <c r="L9" s="337"/>
      <c r="M9" s="335">
        <v>11</v>
      </c>
      <c r="N9" s="27">
        <f t="shared" si="0"/>
        <v>0</v>
      </c>
      <c r="O9" s="337">
        <v>0</v>
      </c>
    </row>
    <row r="10" spans="1:31" ht="13.15">
      <c r="A10" s="73"/>
      <c r="B10" s="3"/>
      <c r="C10" s="332" t="s">
        <v>100</v>
      </c>
      <c r="D10" s="334">
        <f>+D9</f>
        <v>6</v>
      </c>
      <c r="E10" s="335">
        <v>1.25</v>
      </c>
      <c r="F10" s="336">
        <f>+F9</f>
        <v>2</v>
      </c>
      <c r="H10" s="332" t="s">
        <v>377</v>
      </c>
      <c r="I10" s="402">
        <v>0</v>
      </c>
      <c r="J10" s="402" t="s">
        <v>110</v>
      </c>
      <c r="K10" s="402">
        <v>40</v>
      </c>
      <c r="L10" s="337"/>
      <c r="M10" s="335">
        <v>12.5</v>
      </c>
      <c r="N10" s="27">
        <f t="shared" si="0"/>
        <v>0</v>
      </c>
      <c r="O10" s="337">
        <v>0</v>
      </c>
    </row>
    <row r="11" spans="1:31" ht="13.15">
      <c r="A11" s="73"/>
      <c r="B11" s="3"/>
      <c r="C11" t="s">
        <v>21</v>
      </c>
      <c r="D11" s="333">
        <v>0.25</v>
      </c>
      <c r="E11" s="337">
        <v>25</v>
      </c>
      <c r="F11" s="27">
        <f>+U*D11*E11*12</f>
        <v>3000</v>
      </c>
      <c r="H11" s="332" t="s">
        <v>378</v>
      </c>
      <c r="I11" s="402">
        <v>0</v>
      </c>
      <c r="J11" s="402" t="s">
        <v>110</v>
      </c>
      <c r="K11" s="402">
        <v>40</v>
      </c>
      <c r="L11" s="337"/>
      <c r="M11" s="335">
        <v>11</v>
      </c>
      <c r="N11" s="27">
        <f t="shared" si="0"/>
        <v>0</v>
      </c>
      <c r="O11" s="337">
        <v>0</v>
      </c>
    </row>
    <row r="12" spans="1:31" ht="13.15">
      <c r="A12" s="73"/>
      <c r="B12" s="3"/>
      <c r="H12" s="332" t="s">
        <v>105</v>
      </c>
      <c r="I12" s="402">
        <v>0</v>
      </c>
      <c r="J12" s="402" t="s">
        <v>110</v>
      </c>
      <c r="K12" s="402">
        <v>20</v>
      </c>
      <c r="L12" s="337"/>
      <c r="M12" s="335"/>
      <c r="N12" s="27">
        <f t="shared" si="0"/>
        <v>0</v>
      </c>
      <c r="O12" s="337">
        <v>0</v>
      </c>
    </row>
    <row r="13" spans="1:31" ht="13.15">
      <c r="A13" s="73"/>
      <c r="B13" s="3"/>
      <c r="H13" s="332" t="s">
        <v>106</v>
      </c>
      <c r="I13" s="402">
        <v>0</v>
      </c>
      <c r="J13" s="402" t="s">
        <v>110</v>
      </c>
      <c r="K13" s="402">
        <v>40</v>
      </c>
      <c r="L13" s="337"/>
      <c r="M13" s="335"/>
      <c r="N13" s="27">
        <f t="shared" si="0"/>
        <v>0</v>
      </c>
      <c r="O13" s="337">
        <v>0</v>
      </c>
    </row>
    <row r="14" spans="1:31" ht="13.15">
      <c r="A14" s="73"/>
      <c r="B14" s="3"/>
      <c r="I14" s="25">
        <f>+SUM(I5:I13)</f>
        <v>0</v>
      </c>
      <c r="N14" s="34">
        <f>+SUMPRODUCT($I$5:$I$13,N5:N13)</f>
        <v>0</v>
      </c>
      <c r="O14" s="34">
        <f>+SUMPRODUCT($I$5:$I$13,O5:O13)</f>
        <v>0</v>
      </c>
      <c r="P14" s="39">
        <f>+SUM(N14:O14)</f>
        <v>0</v>
      </c>
    </row>
    <row r="15" spans="1:31" ht="13.15">
      <c r="A15" s="73"/>
      <c r="B15" s="3"/>
      <c r="H15" s="340" t="s">
        <v>108</v>
      </c>
      <c r="I15" s="339">
        <f>+IF(U&gt;=15,ROUNDUP(U/50,0),0)</f>
        <v>1</v>
      </c>
      <c r="L15" s="13" t="s">
        <v>114</v>
      </c>
    </row>
    <row r="16" spans="1:31" ht="13.15">
      <c r="A16" s="73"/>
      <c r="B16" s="3"/>
      <c r="L16" s="332" t="s">
        <v>115</v>
      </c>
      <c r="M16" s="111">
        <v>0.15</v>
      </c>
      <c r="N16" s="27">
        <f>+$M16*$N$14</f>
        <v>0</v>
      </c>
    </row>
    <row r="17" spans="1:31" ht="13.15">
      <c r="A17" s="73"/>
      <c r="B17" s="3"/>
      <c r="L17" s="332" t="s">
        <v>116</v>
      </c>
      <c r="M17" s="111">
        <v>0.05</v>
      </c>
      <c r="N17" s="27">
        <f>+$M17*$N$14</f>
        <v>0</v>
      </c>
    </row>
    <row r="18" spans="1:31" ht="13.15">
      <c r="A18" s="73"/>
      <c r="B18" s="3"/>
      <c r="L18" s="36" t="s">
        <v>87</v>
      </c>
      <c r="M18" s="41">
        <f>SUM(M16:M17)</f>
        <v>0.2</v>
      </c>
      <c r="N18" s="37">
        <f>+SUM(P14,N16:N17)</f>
        <v>0</v>
      </c>
      <c r="O18" s="38">
        <f>+N18/U</f>
        <v>0</v>
      </c>
    </row>
    <row r="19" spans="1:31">
      <c r="A19" s="73"/>
      <c r="B19" s="3"/>
    </row>
    <row r="20" spans="1:31" ht="13.15">
      <c r="A20" s="73"/>
      <c r="B20" s="3"/>
      <c r="H20" s="13" t="s">
        <v>35</v>
      </c>
      <c r="I20" s="371" t="s">
        <v>385</v>
      </c>
      <c r="J20" s="371" t="s">
        <v>386</v>
      </c>
      <c r="K20" s="371" t="s">
        <v>87</v>
      </c>
    </row>
    <row r="21" spans="1:31">
      <c r="A21" s="73"/>
      <c r="B21" s="3"/>
      <c r="H21" s="332" t="s">
        <v>117</v>
      </c>
      <c r="J21" s="27"/>
      <c r="K21" s="27">
        <f>+I21*J21</f>
        <v>0</v>
      </c>
    </row>
    <row r="22" spans="1:31">
      <c r="A22" s="73"/>
      <c r="B22" s="3"/>
      <c r="H22" s="332" t="s">
        <v>118</v>
      </c>
      <c r="J22" s="27"/>
      <c r="K22" s="27">
        <f t="shared" ref="K22:K25" si="1">+I22*J22</f>
        <v>0</v>
      </c>
    </row>
    <row r="23" spans="1:31">
      <c r="A23" s="73"/>
      <c r="B23" s="3"/>
      <c r="H23" s="332" t="s">
        <v>119</v>
      </c>
      <c r="J23" s="27"/>
      <c r="K23" s="27">
        <f t="shared" si="1"/>
        <v>0</v>
      </c>
    </row>
    <row r="24" spans="1:31">
      <c r="A24" s="73"/>
      <c r="B24" s="3"/>
      <c r="H24" s="332" t="s">
        <v>120</v>
      </c>
      <c r="J24" s="27"/>
      <c r="K24" s="27">
        <f t="shared" si="1"/>
        <v>0</v>
      </c>
    </row>
    <row r="25" spans="1:31">
      <c r="A25" s="73"/>
      <c r="B25" s="3"/>
      <c r="H25" s="332" t="s">
        <v>107</v>
      </c>
      <c r="J25" s="27"/>
      <c r="K25" s="400">
        <f t="shared" si="1"/>
        <v>0</v>
      </c>
    </row>
    <row r="26" spans="1:31" ht="13.5" thickBot="1">
      <c r="A26" s="73"/>
      <c r="B26" s="3"/>
      <c r="H26" s="32"/>
      <c r="J26" s="27"/>
      <c r="K26" s="47">
        <f>SUM(K21:K25)</f>
        <v>0</v>
      </c>
    </row>
    <row r="27" spans="1:31">
      <c r="A27" s="73"/>
      <c r="B27" s="3"/>
      <c r="H27" s="32"/>
    </row>
    <row r="28" spans="1:31" ht="13.15">
      <c r="A28" s="73"/>
      <c r="B28" s="3"/>
      <c r="H28" s="341" t="s">
        <v>32</v>
      </c>
      <c r="I28" s="401" t="s">
        <v>387</v>
      </c>
      <c r="J28" s="371" t="s">
        <v>174</v>
      </c>
      <c r="K28" s="399">
        <v>1</v>
      </c>
      <c r="L28" s="399">
        <f t="shared" ref="L28:U28" si="2">+K28+1</f>
        <v>2</v>
      </c>
      <c r="M28" s="399">
        <f t="shared" si="2"/>
        <v>3</v>
      </c>
      <c r="N28" s="399">
        <f t="shared" si="2"/>
        <v>4</v>
      </c>
      <c r="O28" s="399">
        <f t="shared" si="2"/>
        <v>5</v>
      </c>
      <c r="P28" s="399">
        <f t="shared" si="2"/>
        <v>6</v>
      </c>
      <c r="Q28" s="399">
        <f t="shared" si="2"/>
        <v>7</v>
      </c>
      <c r="R28" s="399">
        <f t="shared" si="2"/>
        <v>8</v>
      </c>
      <c r="S28" s="399">
        <f t="shared" si="2"/>
        <v>9</v>
      </c>
      <c r="T28" s="399">
        <f t="shared" si="2"/>
        <v>10</v>
      </c>
      <c r="U28" s="399">
        <f t="shared" si="2"/>
        <v>11</v>
      </c>
      <c r="V28" s="55"/>
      <c r="W28" s="55"/>
      <c r="X28" s="346" t="s">
        <v>429</v>
      </c>
      <c r="Y28" s="281" t="s">
        <v>155</v>
      </c>
      <c r="Z28" s="281" t="s">
        <v>179</v>
      </c>
      <c r="AA28" s="281" t="s">
        <v>180</v>
      </c>
      <c r="AB28" s="281" t="s">
        <v>181</v>
      </c>
      <c r="AC28" s="281" t="s">
        <v>182</v>
      </c>
      <c r="AD28" s="281" t="s">
        <v>183</v>
      </c>
      <c r="AE28" s="281" t="s">
        <v>87</v>
      </c>
    </row>
    <row r="29" spans="1:31">
      <c r="A29" s="73"/>
      <c r="B29" s="3"/>
      <c r="H29" s="332" t="s">
        <v>153</v>
      </c>
      <c r="J29" s="27"/>
      <c r="K29" s="27"/>
      <c r="L29" s="27"/>
      <c r="M29" s="27"/>
      <c r="N29" s="27"/>
      <c r="O29" s="27"/>
      <c r="P29" s="27"/>
      <c r="Q29" s="27"/>
      <c r="R29" s="27"/>
      <c r="S29" s="27"/>
      <c r="T29" s="27"/>
      <c r="U29" s="27"/>
      <c r="V29" s="50"/>
      <c r="W29" s="50"/>
      <c r="X29" s="52" t="s">
        <v>175</v>
      </c>
      <c r="Y29" s="434"/>
      <c r="Z29" s="434"/>
      <c r="AA29" s="434">
        <f>+Y29-Z29</f>
        <v>0</v>
      </c>
      <c r="AB29" s="434"/>
      <c r="AC29" s="435" t="str">
        <f>+IFERROR(AB29/Y29,"")</f>
        <v/>
      </c>
      <c r="AD29" s="434"/>
      <c r="AE29" s="27">
        <f>+AB29+AD29</f>
        <v>0</v>
      </c>
    </row>
    <row r="30" spans="1:31" ht="13.15">
      <c r="A30" s="73"/>
      <c r="B30" s="3"/>
      <c r="H30" s="332" t="s">
        <v>155</v>
      </c>
      <c r="J30" s="27">
        <f>+AA33</f>
        <v>0</v>
      </c>
      <c r="K30" s="337">
        <f>+P</f>
        <v>5000000</v>
      </c>
      <c r="L30" s="27">
        <f>+IF(H&lt;L$28,MAX(K30*(1+$I$31),Waterfall!$AA$51),K30*(1+$I$31))</f>
        <v>5100000</v>
      </c>
      <c r="M30" s="27">
        <f>+IF(H&lt;M$28,MAX(L30*(1+$I$31),Waterfall!$AA$51),L30*(1+$I$31))</f>
        <v>5202000</v>
      </c>
      <c r="N30" s="27">
        <f>+IF(H&lt;N$28,MAX(M30*(1+$I$31),Waterfall!$AA$51),M30*(1+$I$31))</f>
        <v>5306040</v>
      </c>
      <c r="O30" s="27">
        <f>+IF(H&lt;O$28,MAX(N30*(1+$I$31),Waterfall!$AA$51),N30*(1+$I$31))</f>
        <v>5412160.7999999998</v>
      </c>
      <c r="P30" s="27">
        <f>+IF(H&lt;P$28,MAX(O30*(1+$I$31),Waterfall!$AA$51),O30*(1+$I$31))</f>
        <v>5520404.0159999998</v>
      </c>
      <c r="Q30" s="27">
        <f>+IF(H&lt;Q$28,MAX(P30*(1+$I$31),Waterfall!$AA$51),P30*(1+$I$31))</f>
        <v>5630812.0963199995</v>
      </c>
      <c r="R30" s="27">
        <f ca="1">+IF(H&lt;R$28,MAX(Q30*(1+$I$31),Waterfall!$AA$51),Q30*(1+$I$31))</f>
        <v>5865917.5534786619</v>
      </c>
      <c r="S30" s="27">
        <f ca="1">+IF(H&lt;S$28,MAX(R30*(1+$I$31),Waterfall!$AA$51),R30*(1+$I$31))</f>
        <v>5983235.9045482352</v>
      </c>
      <c r="T30" s="27">
        <f ca="1">+IF(H&lt;T$28,MAX(S30*(1+$I$31),Waterfall!$AA$51),S30*(1+$I$31))</f>
        <v>6102900.6226391997</v>
      </c>
      <c r="U30" s="27">
        <f ca="1">+IF(H&lt;U$28,MAX(T30*(1+$I$31),Waterfall!$AA$51),T30*(1+$I$31))</f>
        <v>6224958.6350919837</v>
      </c>
      <c r="V30" s="50"/>
      <c r="W30" s="50"/>
      <c r="X30" s="52" t="s">
        <v>176</v>
      </c>
      <c r="Y30" s="434"/>
      <c r="Z30" s="434"/>
      <c r="AA30" s="434">
        <f>+Y30-Z30</f>
        <v>0</v>
      </c>
      <c r="AB30" s="434"/>
      <c r="AC30" s="435" t="str">
        <f>+IFERROR(AB30/Y30,"")</f>
        <v/>
      </c>
      <c r="AD30" s="434"/>
      <c r="AE30" s="27">
        <f>+AB30+AD30</f>
        <v>0</v>
      </c>
    </row>
    <row r="31" spans="1:31" ht="13.15">
      <c r="A31" s="73"/>
      <c r="B31" s="3"/>
      <c r="H31" s="332" t="s">
        <v>156</v>
      </c>
      <c r="I31" s="111">
        <v>0.02</v>
      </c>
      <c r="V31" s="56"/>
      <c r="W31" s="56"/>
      <c r="X31" s="52" t="s">
        <v>177</v>
      </c>
      <c r="Y31" s="434"/>
      <c r="Z31" s="434"/>
      <c r="AA31" s="434">
        <f>+Y31-Z31</f>
        <v>0</v>
      </c>
      <c r="AB31" s="434"/>
      <c r="AC31" s="435" t="str">
        <f>+IFERROR(AB31/Y31,"")</f>
        <v/>
      </c>
      <c r="AD31" s="434"/>
      <c r="AE31" s="27">
        <f>+AB31+AD31</f>
        <v>0</v>
      </c>
    </row>
    <row r="32" spans="1:31">
      <c r="A32" s="73"/>
      <c r="B32" s="3"/>
      <c r="H32" s="332" t="s">
        <v>157</v>
      </c>
      <c r="J32" s="10">
        <f>+AC33</f>
        <v>0</v>
      </c>
      <c r="K32" s="10">
        <f>+MAX(1.1%,J32*(1+$I33))</f>
        <v>1.1000000000000001E-2</v>
      </c>
      <c r="L32" s="10">
        <f t="shared" ref="L32:U32" si="3">+K32*(1+$I33)</f>
        <v>1.1011E-2</v>
      </c>
      <c r="M32" s="10">
        <f t="shared" si="3"/>
        <v>1.1022010999999998E-2</v>
      </c>
      <c r="N32" s="10">
        <f t="shared" si="3"/>
        <v>1.1033033010999997E-2</v>
      </c>
      <c r="O32" s="10">
        <f t="shared" si="3"/>
        <v>1.1044066044010996E-2</v>
      </c>
      <c r="P32" s="10">
        <f t="shared" si="3"/>
        <v>1.1055110110055007E-2</v>
      </c>
      <c r="Q32" s="10">
        <f t="shared" si="3"/>
        <v>1.1066165220165061E-2</v>
      </c>
      <c r="R32" s="10">
        <f t="shared" si="3"/>
        <v>1.1077231385385225E-2</v>
      </c>
      <c r="S32" s="10">
        <f t="shared" si="3"/>
        <v>1.108830861677061E-2</v>
      </c>
      <c r="T32" s="10">
        <f t="shared" si="3"/>
        <v>1.1099396925387379E-2</v>
      </c>
      <c r="U32" s="10">
        <f t="shared" si="3"/>
        <v>1.1110496322312764E-2</v>
      </c>
      <c r="V32" s="344"/>
      <c r="W32" s="57"/>
      <c r="X32" s="52" t="s">
        <v>178</v>
      </c>
      <c r="Y32" s="434"/>
      <c r="Z32" s="434"/>
      <c r="AA32" s="434">
        <f>+Y32-Z32</f>
        <v>0</v>
      </c>
      <c r="AB32" s="434"/>
      <c r="AC32" s="435" t="str">
        <f>+IFERROR(AB32/Y32,"")</f>
        <v/>
      </c>
      <c r="AD32" s="434"/>
      <c r="AE32" s="27">
        <f>+AB32+AD32</f>
        <v>0</v>
      </c>
    </row>
    <row r="33" spans="1:31" ht="13.15">
      <c r="A33" s="73"/>
      <c r="B33" s="3"/>
      <c r="H33" s="332" t="s">
        <v>158</v>
      </c>
      <c r="I33" s="111">
        <v>1E-3</v>
      </c>
      <c r="V33" s="56"/>
      <c r="W33" s="56"/>
      <c r="Y33" s="34">
        <f>SUM(Y29:Y32)</f>
        <v>0</v>
      </c>
      <c r="Z33" s="34">
        <f>SUM(Z29:Z32)</f>
        <v>0</v>
      </c>
      <c r="AA33" s="34">
        <f>SUM(AA29:AA32)</f>
        <v>0</v>
      </c>
      <c r="AB33" s="34">
        <f>SUM(AB29:AB32)</f>
        <v>0</v>
      </c>
      <c r="AC33" s="343">
        <f>+MAX(AC29:AC32)</f>
        <v>0</v>
      </c>
      <c r="AD33" s="34">
        <f>SUM(AD29:AD32)</f>
        <v>0</v>
      </c>
      <c r="AE33" s="34">
        <f>SUM(AE29:AE32)</f>
        <v>0</v>
      </c>
    </row>
    <row r="34" spans="1:31">
      <c r="A34" s="73"/>
      <c r="B34" s="3"/>
      <c r="H34" s="332" t="s">
        <v>159</v>
      </c>
      <c r="J34" s="27">
        <f>+AB33</f>
        <v>0</v>
      </c>
      <c r="K34" s="27">
        <f>+K30*K32</f>
        <v>55000.000000000007</v>
      </c>
      <c r="L34" s="27">
        <f t="shared" ref="L34:U34" si="4">+L30*L32</f>
        <v>56156.1</v>
      </c>
      <c r="M34" s="27">
        <f t="shared" si="4"/>
        <v>57336.501221999992</v>
      </c>
      <c r="N34" s="27">
        <f t="shared" si="4"/>
        <v>58541.714477686422</v>
      </c>
      <c r="O34" s="27">
        <f t="shared" si="4"/>
        <v>59772.261316007389</v>
      </c>
      <c r="P34" s="27">
        <f t="shared" si="4"/>
        <v>61028.674248869858</v>
      </c>
      <c r="Q34" s="27">
        <f t="shared" si="4"/>
        <v>62311.496981581098</v>
      </c>
      <c r="R34" s="27">
        <f t="shared" ca="1" si="4"/>
        <v>64978.126027475948</v>
      </c>
      <c r="S34" s="27">
        <f t="shared" ca="1" si="4"/>
        <v>66343.966236573498</v>
      </c>
      <c r="T34" s="27">
        <f t="shared" ca="1" si="4"/>
        <v>67738.516406866256</v>
      </c>
      <c r="U34" s="27">
        <f t="shared" ca="1" si="4"/>
        <v>69162.380021738572</v>
      </c>
      <c r="V34" s="50"/>
      <c r="W34" s="50"/>
      <c r="Y34" s="345" t="e">
        <f>+Y33/Y40-1</f>
        <v>#DIV/0!</v>
      </c>
      <c r="Z34" s="14"/>
      <c r="AA34" s="345" t="e">
        <f>+AA33/AA40-1</f>
        <v>#DIV/0!</v>
      </c>
      <c r="AB34" s="345" t="e">
        <f>+AB33/AB40-1</f>
        <v>#DIV/0!</v>
      </c>
      <c r="AC34" s="14"/>
      <c r="AD34" s="345" t="e">
        <f>+AD33/AD40-1</f>
        <v>#DIV/0!</v>
      </c>
      <c r="AE34" s="345" t="e">
        <f>+AE33/AE40-1</f>
        <v>#DIV/0!</v>
      </c>
    </row>
    <row r="35" spans="1:31" ht="13.15">
      <c r="A35" s="73"/>
      <c r="B35" s="3"/>
      <c r="H35" s="332" t="s">
        <v>154</v>
      </c>
      <c r="J35" s="27">
        <f>+AD33</f>
        <v>0</v>
      </c>
      <c r="K35" s="27">
        <f>+J35*(1+$I$36)</f>
        <v>0</v>
      </c>
      <c r="L35" s="27">
        <f t="shared" ref="L35:U35" si="5">+K35*(1+$I$36)</f>
        <v>0</v>
      </c>
      <c r="M35" s="27">
        <f t="shared" si="5"/>
        <v>0</v>
      </c>
      <c r="N35" s="27">
        <f t="shared" si="5"/>
        <v>0</v>
      </c>
      <c r="O35" s="27">
        <f t="shared" si="5"/>
        <v>0</v>
      </c>
      <c r="P35" s="27">
        <f t="shared" si="5"/>
        <v>0</v>
      </c>
      <c r="Q35" s="27">
        <f t="shared" si="5"/>
        <v>0</v>
      </c>
      <c r="R35" s="27">
        <f t="shared" si="5"/>
        <v>0</v>
      </c>
      <c r="S35" s="27">
        <f t="shared" si="5"/>
        <v>0</v>
      </c>
      <c r="T35" s="27">
        <f t="shared" si="5"/>
        <v>0</v>
      </c>
      <c r="U35" s="27">
        <f t="shared" si="5"/>
        <v>0</v>
      </c>
      <c r="V35" s="50"/>
      <c r="W35" s="50"/>
      <c r="X35" s="346" t="s">
        <v>185</v>
      </c>
      <c r="Y35" s="281" t="s">
        <v>155</v>
      </c>
      <c r="Z35" s="281" t="s">
        <v>179</v>
      </c>
      <c r="AA35" s="281" t="s">
        <v>180</v>
      </c>
      <c r="AB35" s="281" t="s">
        <v>181</v>
      </c>
      <c r="AC35" s="281" t="s">
        <v>182</v>
      </c>
      <c r="AD35" s="281" t="s">
        <v>183</v>
      </c>
      <c r="AE35" s="281" t="s">
        <v>87</v>
      </c>
    </row>
    <row r="36" spans="1:31" ht="13.15">
      <c r="A36" s="73"/>
      <c r="B36" s="3"/>
      <c r="H36" s="332" t="s">
        <v>160</v>
      </c>
      <c r="I36" s="111">
        <v>0.05</v>
      </c>
      <c r="V36" s="56"/>
      <c r="W36" s="56"/>
      <c r="X36" s="52" t="s">
        <v>175</v>
      </c>
      <c r="Y36" s="434"/>
      <c r="Z36" s="434"/>
      <c r="AA36" s="434">
        <f>+Y36-Z36</f>
        <v>0</v>
      </c>
      <c r="AB36" s="434"/>
      <c r="AC36" s="435" t="str">
        <f>+IFERROR(AB36/Y36,"")</f>
        <v/>
      </c>
      <c r="AD36" s="434"/>
      <c r="AE36" s="27">
        <f>+AB36+AD36</f>
        <v>0</v>
      </c>
    </row>
    <row r="37" spans="1:31" ht="13.5" thickBot="1">
      <c r="A37" s="73"/>
      <c r="B37" s="3"/>
      <c r="H37" s="332" t="s">
        <v>161</v>
      </c>
      <c r="J37" s="47">
        <f t="shared" ref="J37:U37" si="6">+J34+J36</f>
        <v>0</v>
      </c>
      <c r="K37" s="47">
        <f t="shared" si="6"/>
        <v>55000.000000000007</v>
      </c>
      <c r="L37" s="47">
        <f t="shared" si="6"/>
        <v>56156.1</v>
      </c>
      <c r="M37" s="47">
        <f t="shared" si="6"/>
        <v>57336.501221999992</v>
      </c>
      <c r="N37" s="47">
        <f t="shared" si="6"/>
        <v>58541.714477686422</v>
      </c>
      <c r="O37" s="47">
        <f t="shared" si="6"/>
        <v>59772.261316007389</v>
      </c>
      <c r="P37" s="47">
        <f t="shared" si="6"/>
        <v>61028.674248869858</v>
      </c>
      <c r="Q37" s="47">
        <f t="shared" si="6"/>
        <v>62311.496981581098</v>
      </c>
      <c r="R37" s="47">
        <f t="shared" ca="1" si="6"/>
        <v>64978.126027475948</v>
      </c>
      <c r="S37" s="47">
        <f t="shared" ca="1" si="6"/>
        <v>66343.966236573498</v>
      </c>
      <c r="T37" s="47">
        <f t="shared" ca="1" si="6"/>
        <v>67738.516406866256</v>
      </c>
      <c r="U37" s="47">
        <f t="shared" ca="1" si="6"/>
        <v>69162.380021738572</v>
      </c>
      <c r="V37" s="51"/>
      <c r="W37" s="51"/>
      <c r="X37" s="52" t="s">
        <v>176</v>
      </c>
      <c r="Y37" s="434"/>
      <c r="Z37" s="434"/>
      <c r="AA37" s="434">
        <f>+Y37-Z37</f>
        <v>0</v>
      </c>
      <c r="AB37" s="434"/>
      <c r="AC37" s="435" t="str">
        <f t="shared" ref="AC37:AC38" si="7">+IFERROR(AB37/Y37,"")</f>
        <v/>
      </c>
      <c r="AD37" s="434"/>
      <c r="AE37" s="27">
        <f>+AB37+AD37</f>
        <v>0</v>
      </c>
    </row>
    <row r="38" spans="1:31">
      <c r="A38" s="73"/>
      <c r="B38" s="3"/>
      <c r="L38" s="53"/>
      <c r="N38" s="53" t="str">
        <f>+IF($I$28="June-July","2nd Pay","")</f>
        <v/>
      </c>
      <c r="O38" s="53" t="str">
        <f>+IF($I$28="Jan-Dec","1st Pay","")</f>
        <v>1st Pay</v>
      </c>
      <c r="R38" s="53"/>
      <c r="T38" s="53" t="str">
        <f>+IF($I$28="Jan-Dec","2nd Pay","")</f>
        <v>2nd Pay</v>
      </c>
      <c r="U38" s="53" t="str">
        <f>+IF($I$28="June-July","1st Pay","")</f>
        <v/>
      </c>
      <c r="X38" s="52" t="s">
        <v>177</v>
      </c>
      <c r="Y38" s="434"/>
      <c r="Z38" s="434"/>
      <c r="AA38" s="434">
        <f>+Y38-Z38</f>
        <v>0</v>
      </c>
      <c r="AB38" s="434"/>
      <c r="AC38" s="435" t="str">
        <f t="shared" si="7"/>
        <v/>
      </c>
      <c r="AD38" s="434"/>
      <c r="AE38" s="27">
        <f>+AB38+AD38</f>
        <v>0</v>
      </c>
    </row>
    <row r="39" spans="1:31" ht="13.15" thickBot="1">
      <c r="A39" s="73"/>
      <c r="B39" s="3"/>
      <c r="L39" s="53"/>
      <c r="N39" s="53"/>
      <c r="O39" s="53"/>
      <c r="R39" s="53"/>
      <c r="T39" s="53"/>
      <c r="U39" s="53"/>
      <c r="X39" s="52" t="s">
        <v>178</v>
      </c>
      <c r="Y39" s="434"/>
      <c r="Z39" s="434"/>
      <c r="AA39" s="434">
        <f>+Y39-Z39</f>
        <v>0</v>
      </c>
      <c r="AB39" s="434"/>
      <c r="AC39" s="435" t="str">
        <f>+IFERROR(AB39/Y39,"")</f>
        <v/>
      </c>
      <c r="AD39" s="434"/>
      <c r="AE39" s="27">
        <f>+AB39+AD39</f>
        <v>0</v>
      </c>
    </row>
    <row r="40" spans="1:31" ht="13.15">
      <c r="A40" s="73"/>
      <c r="B40" s="3"/>
      <c r="J40" s="405" t="s">
        <v>162</v>
      </c>
      <c r="K40" s="406" t="s">
        <v>163</v>
      </c>
      <c r="L40" s="406" t="s">
        <v>164</v>
      </c>
      <c r="M40" s="406" t="s">
        <v>165</v>
      </c>
      <c r="N40" s="406" t="s">
        <v>166</v>
      </c>
      <c r="O40" s="406" t="s">
        <v>167</v>
      </c>
      <c r="P40" s="406" t="s">
        <v>168</v>
      </c>
      <c r="Q40" s="406" t="s">
        <v>169</v>
      </c>
      <c r="R40" s="406" t="s">
        <v>170</v>
      </c>
      <c r="S40" s="406" t="s">
        <v>171</v>
      </c>
      <c r="T40" s="406" t="s">
        <v>172</v>
      </c>
      <c r="U40" s="407" t="s">
        <v>173</v>
      </c>
      <c r="Y40" s="34">
        <f>SUM(Y36:Y39)</f>
        <v>0</v>
      </c>
      <c r="Z40" s="34">
        <f>SUM(Z36:Z39)</f>
        <v>0</v>
      </c>
      <c r="AA40" s="34">
        <f>SUM(AA36:AA39)</f>
        <v>0</v>
      </c>
      <c r="AB40" s="34">
        <f>SUM(AB36:AB39)</f>
        <v>0</v>
      </c>
      <c r="AC40" s="343">
        <f>+MAX(AC36:AC39)</f>
        <v>0</v>
      </c>
      <c r="AD40" s="34">
        <f>SUM(AD36:AD39)</f>
        <v>0</v>
      </c>
      <c r="AE40" s="34">
        <f>SUM(AE36:AE39)</f>
        <v>0</v>
      </c>
    </row>
    <row r="41" spans="1:31" ht="13.5" thickBot="1">
      <c r="A41" s="73"/>
      <c r="B41" s="3"/>
      <c r="J41" s="403" t="str">
        <f>+IF(OR(J$38="1st Pay",J$38="2nd Pay"),$K$37/2,"")</f>
        <v/>
      </c>
      <c r="K41" s="278" t="str">
        <f t="shared" ref="K41:U41" si="8">+IF(OR(K$38="1st Pay",K$38="2nd Pay"),$K$37/2,"")</f>
        <v/>
      </c>
      <c r="L41" s="278" t="str">
        <f t="shared" si="8"/>
        <v/>
      </c>
      <c r="M41" s="278" t="str">
        <f t="shared" si="8"/>
        <v/>
      </c>
      <c r="N41" s="278" t="str">
        <f t="shared" si="8"/>
        <v/>
      </c>
      <c r="O41" s="278">
        <f t="shared" si="8"/>
        <v>27500.000000000004</v>
      </c>
      <c r="P41" s="278" t="str">
        <f t="shared" si="8"/>
        <v/>
      </c>
      <c r="Q41" s="278" t="str">
        <f t="shared" si="8"/>
        <v/>
      </c>
      <c r="R41" s="278" t="str">
        <f t="shared" si="8"/>
        <v/>
      </c>
      <c r="S41" s="278" t="str">
        <f t="shared" si="8"/>
        <v/>
      </c>
      <c r="T41" s="278">
        <f t="shared" si="8"/>
        <v>27500.000000000004</v>
      </c>
      <c r="U41" s="404" t="str">
        <f t="shared" si="8"/>
        <v/>
      </c>
      <c r="X41" s="346" t="s">
        <v>184</v>
      </c>
      <c r="Y41" s="345" t="e">
        <f>+Y40/Y46-1</f>
        <v>#DIV/0!</v>
      </c>
      <c r="Z41" s="14"/>
      <c r="AA41" s="345" t="e">
        <f>+AA40/AA46-1</f>
        <v>#DIV/0!</v>
      </c>
      <c r="AB41" s="345" t="e">
        <f>+AB40/AB46-1</f>
        <v>#DIV/0!</v>
      </c>
      <c r="AC41" s="14"/>
      <c r="AD41" s="345" t="e">
        <f>+AD40/AD46-1</f>
        <v>#DIV/0!</v>
      </c>
      <c r="AE41" s="345" t="e">
        <f>+AE40/AE46-1</f>
        <v>#DIV/0!</v>
      </c>
    </row>
    <row r="42" spans="1:31">
      <c r="A42" s="73"/>
      <c r="B42" s="3"/>
      <c r="X42" s="52" t="s">
        <v>175</v>
      </c>
      <c r="Y42" s="434"/>
      <c r="Z42" s="434"/>
      <c r="AA42" s="434">
        <f>+Y42-Z42</f>
        <v>0</v>
      </c>
      <c r="AB42" s="434"/>
      <c r="AC42" s="435" t="str">
        <f>+IFERROR(AB42/Y42,"")</f>
        <v/>
      </c>
      <c r="AD42" s="434"/>
      <c r="AE42" s="27">
        <f>+AB42+AD42</f>
        <v>0</v>
      </c>
    </row>
    <row r="43" spans="1:31" ht="13.15">
      <c r="A43" s="73"/>
      <c r="B43" s="3"/>
      <c r="H43" s="342" t="s">
        <v>34</v>
      </c>
      <c r="J43" s="371" t="s">
        <v>188</v>
      </c>
      <c r="K43" s="399">
        <v>1</v>
      </c>
      <c r="L43" s="399">
        <f t="shared" ref="L43:U43" si="9">+K43+1</f>
        <v>2</v>
      </c>
      <c r="M43" s="399">
        <f t="shared" si="9"/>
        <v>3</v>
      </c>
      <c r="N43" s="399">
        <f t="shared" si="9"/>
        <v>4</v>
      </c>
      <c r="O43" s="399">
        <f t="shared" si="9"/>
        <v>5</v>
      </c>
      <c r="P43" s="399">
        <f t="shared" si="9"/>
        <v>6</v>
      </c>
      <c r="Q43" s="399">
        <f t="shared" si="9"/>
        <v>7</v>
      </c>
      <c r="R43" s="399">
        <f t="shared" si="9"/>
        <v>8</v>
      </c>
      <c r="S43" s="399">
        <f t="shared" si="9"/>
        <v>9</v>
      </c>
      <c r="T43" s="399">
        <f t="shared" si="9"/>
        <v>10</v>
      </c>
      <c r="U43" s="399">
        <f t="shared" si="9"/>
        <v>11</v>
      </c>
      <c r="X43" s="52" t="s">
        <v>176</v>
      </c>
      <c r="Y43" s="434"/>
      <c r="Z43" s="434"/>
      <c r="AA43" s="434">
        <f>+Y43-Z43</f>
        <v>0</v>
      </c>
      <c r="AB43" s="434"/>
      <c r="AC43" s="435" t="str">
        <f t="shared" ref="AC43:AC45" si="10">+IFERROR(AB43/Y43,"")</f>
        <v/>
      </c>
      <c r="AD43" s="434"/>
      <c r="AE43" s="27">
        <f>+AB43+AD43</f>
        <v>0</v>
      </c>
    </row>
    <row r="44" spans="1:31">
      <c r="A44" s="73"/>
      <c r="B44" s="3"/>
      <c r="H44" s="332" t="s">
        <v>12</v>
      </c>
      <c r="J44" s="10" t="e">
        <f>+Worksheet!E10/Worksheet!E8</f>
        <v>#DIV/0!</v>
      </c>
      <c r="K44" s="10">
        <f>+Cashflow!D11</f>
        <v>0.05</v>
      </c>
      <c r="L44" s="10">
        <f>+Cashflow!E11</f>
        <v>0.05</v>
      </c>
      <c r="M44" s="10">
        <f>+Cashflow!F11</f>
        <v>0.05</v>
      </c>
      <c r="N44" s="10">
        <f>+Cashflow!G11</f>
        <v>0.05</v>
      </c>
      <c r="O44" s="10">
        <f>+Cashflow!H11</f>
        <v>0.05</v>
      </c>
      <c r="P44" s="10">
        <f>+Cashflow!I11</f>
        <v>0.05</v>
      </c>
      <c r="Q44" s="10">
        <f>+Cashflow!J11</f>
        <v>0.05</v>
      </c>
      <c r="R44" s="10">
        <f>+Cashflow!K11</f>
        <v>0.05</v>
      </c>
      <c r="S44" s="10">
        <f>+Cashflow!L11</f>
        <v>0.05</v>
      </c>
      <c r="T44" s="10">
        <f>+Cashflow!M11</f>
        <v>0.05</v>
      </c>
      <c r="U44" s="10">
        <f>+Cashflow!N11</f>
        <v>0.05</v>
      </c>
      <c r="X44" s="52" t="s">
        <v>177</v>
      </c>
      <c r="Y44" s="434"/>
      <c r="Z44" s="434"/>
      <c r="AA44" s="434">
        <f>+Y44-Z44</f>
        <v>0</v>
      </c>
      <c r="AB44" s="434"/>
      <c r="AC44" s="435" t="str">
        <f t="shared" si="10"/>
        <v/>
      </c>
      <c r="AD44" s="434"/>
      <c r="AE44" s="27">
        <f>+AB44+AD44</f>
        <v>0</v>
      </c>
    </row>
    <row r="45" spans="1:31" ht="13.15">
      <c r="A45" s="73"/>
      <c r="B45" s="3"/>
      <c r="H45" s="332" t="s">
        <v>189</v>
      </c>
      <c r="J45" s="333"/>
      <c r="K45" s="333">
        <v>0.3</v>
      </c>
      <c r="L45" s="333">
        <f t="shared" ref="L45:U45" si="11">+K45</f>
        <v>0.3</v>
      </c>
      <c r="M45" s="333">
        <f t="shared" si="11"/>
        <v>0.3</v>
      </c>
      <c r="N45" s="333">
        <f t="shared" si="11"/>
        <v>0.3</v>
      </c>
      <c r="O45" s="333">
        <f t="shared" si="11"/>
        <v>0.3</v>
      </c>
      <c r="P45" s="333">
        <f t="shared" si="11"/>
        <v>0.3</v>
      </c>
      <c r="Q45" s="333">
        <f t="shared" si="11"/>
        <v>0.3</v>
      </c>
      <c r="R45" s="333">
        <f t="shared" si="11"/>
        <v>0.3</v>
      </c>
      <c r="S45" s="333">
        <f t="shared" si="11"/>
        <v>0.3</v>
      </c>
      <c r="T45" s="333">
        <f t="shared" si="11"/>
        <v>0.3</v>
      </c>
      <c r="U45" s="333">
        <f t="shared" si="11"/>
        <v>0.3</v>
      </c>
      <c r="X45" s="52" t="s">
        <v>178</v>
      </c>
      <c r="Y45" s="434"/>
      <c r="Z45" s="434"/>
      <c r="AA45" s="434">
        <f>+Y45-Z45</f>
        <v>0</v>
      </c>
      <c r="AB45" s="434"/>
      <c r="AC45" s="435" t="str">
        <f t="shared" si="10"/>
        <v/>
      </c>
      <c r="AD45" s="434"/>
      <c r="AE45" s="27">
        <f>+AB45+AD45</f>
        <v>0</v>
      </c>
    </row>
    <row r="46" spans="1:31" ht="13.15">
      <c r="A46" s="73"/>
      <c r="B46" s="3"/>
      <c r="H46" s="332" t="s">
        <v>190</v>
      </c>
      <c r="J46" s="14">
        <f t="shared" ref="J46:U46" si="12">+U*J45</f>
        <v>0</v>
      </c>
      <c r="K46" s="14">
        <f t="shared" si="12"/>
        <v>12</v>
      </c>
      <c r="L46" s="14">
        <f t="shared" si="12"/>
        <v>12</v>
      </c>
      <c r="M46" s="14">
        <f t="shared" si="12"/>
        <v>12</v>
      </c>
      <c r="N46" s="14">
        <f t="shared" si="12"/>
        <v>12</v>
      </c>
      <c r="O46" s="14">
        <f t="shared" si="12"/>
        <v>12</v>
      </c>
      <c r="P46" s="14">
        <f t="shared" si="12"/>
        <v>12</v>
      </c>
      <c r="Q46" s="14">
        <f t="shared" si="12"/>
        <v>12</v>
      </c>
      <c r="R46" s="14">
        <f t="shared" si="12"/>
        <v>12</v>
      </c>
      <c r="S46" s="14">
        <f t="shared" si="12"/>
        <v>12</v>
      </c>
      <c r="T46" s="14">
        <f t="shared" si="12"/>
        <v>12</v>
      </c>
      <c r="U46" s="14">
        <f t="shared" si="12"/>
        <v>12</v>
      </c>
      <c r="Y46" s="34">
        <f>SUM(Y42:Y45)</f>
        <v>0</v>
      </c>
      <c r="Z46" s="34">
        <f>SUM(Z42:Z45)</f>
        <v>0</v>
      </c>
      <c r="AA46" s="34">
        <f>SUM(AA42:AA45)</f>
        <v>0</v>
      </c>
      <c r="AB46" s="34">
        <f>SUM(AB42:AB45)</f>
        <v>0</v>
      </c>
      <c r="AC46" s="343">
        <f>+MAX(AC42:AC45)</f>
        <v>0</v>
      </c>
      <c r="AD46" s="34">
        <f>SUM(AD42:AD45)</f>
        <v>0</v>
      </c>
      <c r="AE46" s="34">
        <f>SUM(AE42:AE45)</f>
        <v>0</v>
      </c>
    </row>
    <row r="47" spans="1:31">
      <c r="A47" s="73"/>
      <c r="B47" s="3"/>
      <c r="H47" s="332" t="s">
        <v>384</v>
      </c>
      <c r="J47" s="27"/>
      <c r="K47" s="27">
        <f>+Cashflow!D55/U*K45</f>
        <v>2931.5250000000001</v>
      </c>
      <c r="L47" s="27">
        <f>+Cashflow!E55/U*L45</f>
        <v>3219.6779999999999</v>
      </c>
      <c r="M47" s="27">
        <f>+Cashflow!F55/U*M45</f>
        <v>3399.9690599999999</v>
      </c>
      <c r="N47" s="27">
        <f>+Cashflow!G55/U*N45</f>
        <v>3467.9684411999997</v>
      </c>
      <c r="O47" s="27">
        <f>+Cashflow!H55/U*O45</f>
        <v>3537.327810024</v>
      </c>
      <c r="P47" s="27">
        <f>+Cashflow!I55/U*P45</f>
        <v>3608.0743662244799</v>
      </c>
      <c r="Q47" s="27">
        <f>+Cashflow!J55/U*Q45</f>
        <v>3680.2358535489698</v>
      </c>
      <c r="R47" s="27">
        <f>+Cashflow!K55/U*R45</f>
        <v>3753.8405706199492</v>
      </c>
      <c r="S47" s="27">
        <f>+Cashflow!L55/U*S45</f>
        <v>3828.9173820323485</v>
      </c>
      <c r="T47" s="27">
        <f>+Cashflow!M55/U*T45</f>
        <v>3905.4957296729954</v>
      </c>
      <c r="U47" s="27">
        <f>+Cashflow!N55/U*U45</f>
        <v>3983.6056442664558</v>
      </c>
      <c r="Y47" s="345"/>
      <c r="Z47" s="14"/>
      <c r="AA47" s="345"/>
      <c r="AB47" s="345"/>
      <c r="AC47" s="14"/>
      <c r="AD47" s="345"/>
      <c r="AE47" s="345"/>
    </row>
    <row r="48" spans="1:31" ht="13.15" thickBot="1">
      <c r="A48" s="73"/>
      <c r="B48" s="3"/>
      <c r="J48" s="58">
        <f t="shared" ref="J48:U48" si="13">+J46*J47</f>
        <v>0</v>
      </c>
      <c r="K48" s="58">
        <f t="shared" si="13"/>
        <v>35178.300000000003</v>
      </c>
      <c r="L48" s="58">
        <f t="shared" si="13"/>
        <v>38636.135999999999</v>
      </c>
      <c r="M48" s="58">
        <f t="shared" si="13"/>
        <v>40799.628720000001</v>
      </c>
      <c r="N48" s="58">
        <f t="shared" si="13"/>
        <v>41615.6212944</v>
      </c>
      <c r="O48" s="58">
        <f t="shared" si="13"/>
        <v>42447.933720287998</v>
      </c>
      <c r="P48" s="58">
        <f t="shared" si="13"/>
        <v>43296.892394693758</v>
      </c>
      <c r="Q48" s="58">
        <f t="shared" si="13"/>
        <v>44162.830242587639</v>
      </c>
      <c r="R48" s="58">
        <f t="shared" si="13"/>
        <v>45046.086847439394</v>
      </c>
      <c r="S48" s="58">
        <f t="shared" si="13"/>
        <v>45947.008584388182</v>
      </c>
      <c r="T48" s="58">
        <f t="shared" si="13"/>
        <v>46865.948756075944</v>
      </c>
      <c r="U48" s="58">
        <f t="shared" si="13"/>
        <v>47803.267731197469</v>
      </c>
    </row>
    <row r="49" spans="1:9">
      <c r="A49" s="73"/>
      <c r="B49" s="3"/>
    </row>
    <row r="50" spans="1:9" ht="13.15">
      <c r="A50" s="73"/>
      <c r="B50" s="3"/>
      <c r="H50" s="341" t="s">
        <v>12</v>
      </c>
    </row>
    <row r="51" spans="1:9">
      <c r="A51" s="73"/>
      <c r="B51" s="3"/>
      <c r="H51" t="s">
        <v>418</v>
      </c>
      <c r="I51" s="430">
        <v>2.5</v>
      </c>
    </row>
    <row r="52" spans="1:9">
      <c r="A52" s="73"/>
      <c r="B52" s="3"/>
      <c r="H52" t="s">
        <v>419</v>
      </c>
      <c r="I52" s="431">
        <f>+(1/U)</f>
        <v>2.5000000000000001E-2</v>
      </c>
    </row>
    <row r="53" spans="1:9" ht="13.15">
      <c r="A53" s="73"/>
      <c r="B53" s="3"/>
      <c r="I53" s="432">
        <f>+U*I51/12*I52/U</f>
        <v>5.2083333333333339E-3</v>
      </c>
    </row>
    <row r="54" spans="1:9">
      <c r="A54" s="73"/>
      <c r="B54" s="3"/>
    </row>
    <row r="55" spans="1:9">
      <c r="A55" s="73"/>
      <c r="B55" s="3"/>
    </row>
    <row r="56" spans="1:9">
      <c r="A56" s="73"/>
      <c r="B56" s="3"/>
    </row>
    <row r="57" spans="1:9">
      <c r="A57" s="73"/>
      <c r="B57" s="3"/>
    </row>
    <row r="58" spans="1:9">
      <c r="A58" s="73"/>
      <c r="B58" s="3"/>
    </row>
    <row r="59" spans="1:9">
      <c r="A59" s="73"/>
      <c r="B59" s="3"/>
    </row>
    <row r="60" spans="1:9">
      <c r="A60" s="73"/>
      <c r="B60" s="3"/>
    </row>
    <row r="61" spans="1:9">
      <c r="A61" s="73"/>
      <c r="B61" s="3"/>
    </row>
    <row r="65" spans="3:17">
      <c r="C65" s="82"/>
      <c r="D65" s="82"/>
      <c r="E65" s="82"/>
      <c r="F65" s="82"/>
      <c r="G65" s="82"/>
      <c r="H65" s="82"/>
      <c r="I65" s="82"/>
      <c r="J65" s="82"/>
      <c r="K65" s="82"/>
      <c r="L65" s="82"/>
      <c r="M65" s="82"/>
      <c r="N65" s="82"/>
      <c r="O65" s="82"/>
      <c r="P65" s="82"/>
      <c r="Q65" s="82"/>
    </row>
  </sheetData>
  <conditionalFormatting sqref="K5:K13 M5:M13">
    <cfRule type="expression" dxfId="5" priority="7">
      <formula>$W5="Salary"</formula>
    </cfRule>
  </conditionalFormatting>
  <dataValidations xWindow="705" yWindow="298" count="5">
    <dataValidation type="list" allowBlank="1" showInputMessage="1" showErrorMessage="1" sqref="I28" xr:uid="{00000000-0002-0000-0500-000000000000}">
      <formula1>"Jan-Dec,June-July"</formula1>
    </dataValidation>
    <dataValidation type="list" allowBlank="1" showInputMessage="1" showErrorMessage="1" sqref="J5:J13" xr:uid="{00000000-0002-0000-0500-000001000000}">
      <formula1>"Salary,Hourly"</formula1>
    </dataValidation>
    <dataValidation allowBlank="1" showInputMessage="1" showErrorMessage="1" promptTitle="Turnover:" prompt="Turnover should fluctuate depending on the occupancy and rate of new leases. A higher turnover rate will provide more opportunities to raise rents as more units become vacant." sqref="H43" xr:uid="{00000000-0002-0000-0500-000002000000}"/>
    <dataValidation allowBlank="1" showInputMessage="1" showErrorMessage="1" promptTitle="Utility Income:" prompt="Utility income is based on chargebacks for utility paid by the owner. The easiest way to calculate each unit's usage is by submetering separate lines although other methods can be used." sqref="C5" xr:uid="{00000000-0002-0000-0500-000003000000}"/>
    <dataValidation allowBlank="1" showInputMessage="1" showErrorMessage="1" promptTitle="Property Tax:" prompt="Start by researching the property on the county assessor's website and property tax records (if available). Each county and state has different assessment methods." sqref="H28" xr:uid="{00000000-0002-0000-0500-000004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U112"/>
  <sheetViews>
    <sheetView showGridLines="0" zoomScaleNormal="100" workbookViewId="0">
      <pane xSplit="3" ySplit="3" topLeftCell="D24" activePane="bottomRight" state="frozen"/>
      <selection activeCell="G24" sqref="A1:XFD1048576"/>
      <selection pane="topRight" activeCell="G24" sqref="A1:XFD1048576"/>
      <selection pane="bottomLeft" activeCell="G24" sqref="A1:XFD1048576"/>
      <selection pane="bottomRight" activeCell="G58" sqref="G58"/>
    </sheetView>
  </sheetViews>
  <sheetFormatPr defaultRowHeight="12.75"/>
  <cols>
    <col min="1" max="1" width="9.1328125" customWidth="1"/>
    <col min="2" max="2" width="0.6640625" customWidth="1"/>
    <col min="3" max="3" width="28.59765625" bestFit="1" customWidth="1"/>
    <col min="4" max="4" width="15.53125" bestFit="1" customWidth="1"/>
    <col min="5" max="5" width="12.53125" customWidth="1"/>
    <col min="6" max="6" width="1.46484375" customWidth="1"/>
    <col min="7" max="7" width="10.796875" bestFit="1" customWidth="1"/>
    <col min="8" max="8" width="7.6640625" bestFit="1" customWidth="1"/>
    <col min="9" max="9" width="1.46484375" customWidth="1"/>
    <col min="10" max="10" width="26.3984375" bestFit="1" customWidth="1"/>
    <col min="11" max="11" width="7" bestFit="1" customWidth="1"/>
    <col min="12" max="12" width="6.33203125" customWidth="1"/>
    <col min="14" max="14" width="26.86328125" bestFit="1" customWidth="1"/>
    <col min="15" max="15" width="10.1328125" bestFit="1" customWidth="1"/>
    <col min="16" max="17" width="7.6640625" bestFit="1" customWidth="1"/>
    <col min="18" max="18" width="4.46484375" bestFit="1" customWidth="1"/>
    <col min="20" max="20" width="8.86328125" bestFit="1" customWidth="1"/>
    <col min="21" max="21" width="14.6640625" bestFit="1" customWidth="1"/>
    <col min="22" max="22" width="10.796875" bestFit="1" customWidth="1"/>
    <col min="23" max="23" width="18.33203125" bestFit="1" customWidth="1"/>
    <col min="24" max="24" width="10.6640625" bestFit="1" customWidth="1"/>
    <col min="25" max="25" width="7.265625" bestFit="1" customWidth="1"/>
    <col min="26" max="26" width="14.6640625" bestFit="1" customWidth="1"/>
    <col min="27" max="27" width="6.73046875" bestFit="1" customWidth="1"/>
  </cols>
  <sheetData>
    <row r="1" spans="1:21" ht="30">
      <c r="A1" s="74" t="str">
        <f ca="1">MID(CELL("filename",A1),FIND("]",CELL("filename",A1))+1,255)</f>
        <v>Worksheet</v>
      </c>
      <c r="B1" s="74"/>
      <c r="C1" s="77"/>
      <c r="D1" s="77"/>
      <c r="E1" s="77"/>
      <c r="F1" s="77"/>
      <c r="G1" s="77"/>
      <c r="H1" s="77"/>
      <c r="I1" s="77"/>
      <c r="J1" s="77"/>
      <c r="K1" s="77"/>
      <c r="L1" s="77"/>
      <c r="M1" s="77"/>
      <c r="N1" s="77"/>
      <c r="O1" s="77"/>
      <c r="P1" s="77"/>
      <c r="Q1" s="77"/>
      <c r="R1" s="77"/>
      <c r="S1" s="77"/>
      <c r="T1" s="77"/>
      <c r="U1" s="409">
        <f>+Name</f>
        <v>0</v>
      </c>
    </row>
    <row r="2" spans="1:21" s="3" customFormat="1" ht="3.75" customHeight="1">
      <c r="A2" s="73"/>
      <c r="C2" s="164"/>
      <c r="D2" s="164"/>
      <c r="E2" s="164"/>
      <c r="F2" s="164"/>
      <c r="G2" s="164"/>
      <c r="H2" s="164"/>
      <c r="I2" s="164"/>
      <c r="J2" s="164"/>
      <c r="K2" s="164"/>
      <c r="L2" s="164"/>
      <c r="M2" s="164"/>
      <c r="N2" s="164"/>
      <c r="O2" s="164"/>
      <c r="P2" s="164"/>
    </row>
    <row r="3" spans="1:21" ht="21" thickBot="1">
      <c r="A3" s="73"/>
      <c r="B3" s="3"/>
      <c r="C3" s="7" t="s">
        <v>8</v>
      </c>
      <c r="D3" s="438" t="s">
        <v>426</v>
      </c>
      <c r="E3" s="54" t="s">
        <v>188</v>
      </c>
      <c r="F3" s="280"/>
      <c r="G3" s="84">
        <v>1</v>
      </c>
      <c r="H3" s="80"/>
      <c r="I3" s="4"/>
      <c r="J3" s="81" t="s">
        <v>43</v>
      </c>
      <c r="K3" s="80"/>
      <c r="L3" s="80"/>
      <c r="M3" s="13" t="s">
        <v>44</v>
      </c>
      <c r="N3" s="2"/>
      <c r="O3" s="2"/>
    </row>
    <row r="4" spans="1:21" ht="15.75" customHeight="1">
      <c r="A4" s="73"/>
      <c r="B4" s="3"/>
      <c r="C4" s="7" t="s">
        <v>37</v>
      </c>
      <c r="D4" s="185"/>
      <c r="E4" s="185"/>
      <c r="F4" s="320"/>
      <c r="G4" s="347"/>
      <c r="H4" s="28"/>
      <c r="I4" s="326"/>
      <c r="J4" s="5"/>
      <c r="K4" s="28"/>
      <c r="L4" s="28"/>
      <c r="M4" s="559" t="s">
        <v>430</v>
      </c>
      <c r="N4" s="559"/>
      <c r="O4" s="559"/>
      <c r="P4" s="559"/>
      <c r="Q4" s="559"/>
      <c r="R4" s="559"/>
      <c r="S4" s="559"/>
      <c r="T4" s="559"/>
      <c r="U4" s="559"/>
    </row>
    <row r="5" spans="1:21" ht="12.75" customHeight="1">
      <c r="A5" s="73"/>
      <c r="B5" s="3"/>
      <c r="C5" t="s">
        <v>9</v>
      </c>
      <c r="D5" s="185"/>
      <c r="E5" s="185"/>
      <c r="F5" s="320"/>
      <c r="G5" s="352">
        <f>+Dashboard!I11*U*12*(1+Cashflow!D7)</f>
        <v>379440</v>
      </c>
      <c r="H5" s="28"/>
      <c r="I5" s="327"/>
      <c r="J5" s="5"/>
      <c r="K5" s="28"/>
      <c r="L5" s="28"/>
      <c r="M5" s="559"/>
      <c r="N5" s="559"/>
      <c r="O5" s="559"/>
      <c r="P5" s="559"/>
      <c r="Q5" s="559"/>
      <c r="R5" s="559"/>
      <c r="S5" s="559"/>
      <c r="T5" s="559"/>
      <c r="U5" s="559"/>
    </row>
    <row r="6" spans="1:21">
      <c r="A6" s="73"/>
      <c r="B6" s="3"/>
      <c r="C6" t="s">
        <v>308</v>
      </c>
      <c r="D6" s="185"/>
      <c r="E6" s="185"/>
      <c r="F6" s="320"/>
      <c r="G6" s="354">
        <f>+Rehab!G36</f>
        <v>30300</v>
      </c>
      <c r="H6" s="29"/>
      <c r="I6" s="327"/>
      <c r="J6" s="8"/>
      <c r="K6" s="28"/>
      <c r="L6" s="28"/>
      <c r="M6" s="559"/>
      <c r="N6" s="559"/>
      <c r="O6" s="559"/>
      <c r="P6" s="559"/>
      <c r="Q6" s="559"/>
      <c r="R6" s="559"/>
      <c r="S6" s="559"/>
      <c r="T6" s="559"/>
      <c r="U6" s="559"/>
    </row>
    <row r="7" spans="1:21">
      <c r="A7" s="73"/>
      <c r="B7" s="3"/>
      <c r="C7" t="s">
        <v>10</v>
      </c>
      <c r="D7" s="185"/>
      <c r="E7" s="185"/>
      <c r="F7" s="320"/>
      <c r="G7" s="352">
        <f>-(SUM(G5:G6)-(Dashboard!I11*U*12))*50%</f>
        <v>-18870</v>
      </c>
      <c r="H7" s="28"/>
      <c r="I7" s="327"/>
      <c r="J7" s="5"/>
      <c r="K7" s="28"/>
      <c r="L7" s="29"/>
      <c r="M7" s="559"/>
      <c r="N7" s="559"/>
      <c r="O7" s="559"/>
      <c r="P7" s="559"/>
      <c r="Q7" s="559"/>
      <c r="R7" s="559"/>
      <c r="S7" s="559"/>
      <c r="T7" s="559"/>
      <c r="U7" s="559"/>
    </row>
    <row r="8" spans="1:21" ht="13.15">
      <c r="A8" s="73"/>
      <c r="B8" s="3"/>
      <c r="C8" s="1" t="s">
        <v>11</v>
      </c>
      <c r="D8" s="35">
        <f>+SUM(D5:D7)</f>
        <v>0</v>
      </c>
      <c r="E8" s="35">
        <f>+SUM(E5:E7)</f>
        <v>0</v>
      </c>
      <c r="F8" s="321"/>
      <c r="G8" s="349">
        <f>+SUM(G5:G7)</f>
        <v>390870</v>
      </c>
      <c r="H8" s="30">
        <f>+G8/U/12</f>
        <v>814.3125</v>
      </c>
      <c r="I8" s="327"/>
      <c r="J8" s="35">
        <f>+SUM(J5:J7)</f>
        <v>0</v>
      </c>
      <c r="K8" s="30">
        <f>+J8/U</f>
        <v>0</v>
      </c>
      <c r="M8" s="559"/>
      <c r="N8" s="559"/>
      <c r="O8" s="559"/>
      <c r="P8" s="559"/>
      <c r="Q8" s="559"/>
      <c r="R8" s="559"/>
      <c r="S8" s="559"/>
      <c r="T8" s="559"/>
      <c r="U8" s="559"/>
    </row>
    <row r="9" spans="1:21" ht="13.15">
      <c r="A9" s="73"/>
      <c r="B9" s="3"/>
      <c r="C9" s="1"/>
      <c r="D9" s="22"/>
      <c r="E9" s="22"/>
      <c r="F9" s="322"/>
      <c r="G9" s="350"/>
      <c r="H9" s="30"/>
      <c r="I9" s="327"/>
      <c r="J9" s="22"/>
      <c r="K9" s="30"/>
      <c r="M9" s="559"/>
      <c r="N9" s="559"/>
      <c r="O9" s="559"/>
      <c r="P9" s="559"/>
      <c r="Q9" s="559"/>
      <c r="R9" s="559"/>
      <c r="S9" s="559"/>
      <c r="T9" s="559"/>
      <c r="U9" s="559"/>
    </row>
    <row r="10" spans="1:21">
      <c r="A10" s="73"/>
      <c r="B10" s="3"/>
      <c r="C10" t="s">
        <v>12</v>
      </c>
      <c r="D10" s="185"/>
      <c r="E10" s="185"/>
      <c r="F10" s="320"/>
      <c r="G10" s="352">
        <f>-$G$8*VLOOKUP($C10,Cashflow!$C:$D,2,0)</f>
        <v>-19543.5</v>
      </c>
      <c r="H10" s="182">
        <f>IFERROR(-G10/SUM($G$8:$G$8),"")</f>
        <v>0.05</v>
      </c>
      <c r="I10" s="327"/>
      <c r="J10" s="329"/>
      <c r="K10" s="355" t="str">
        <f>IFERROR(-J10/SUM($J$5:$J$6),"")</f>
        <v/>
      </c>
      <c r="L10" s="29"/>
      <c r="M10" s="559"/>
      <c r="N10" s="559"/>
      <c r="O10" s="559"/>
      <c r="P10" s="559"/>
      <c r="Q10" s="559"/>
      <c r="R10" s="559"/>
      <c r="S10" s="559"/>
      <c r="T10" s="559"/>
      <c r="U10" s="559"/>
    </row>
    <row r="11" spans="1:21">
      <c r="A11" s="73"/>
      <c r="B11" s="3"/>
      <c r="C11" t="s">
        <v>13</v>
      </c>
      <c r="D11" s="185"/>
      <c r="E11" s="185"/>
      <c r="F11" s="320"/>
      <c r="G11" s="352">
        <f>-SUM($G$8:$G$10)*VLOOKUP($C11,Cashflow!$C:$D,2,0)</f>
        <v>-2784.94875</v>
      </c>
      <c r="H11" s="182">
        <f>IFERROR(-G11/SUM($G$8:$G$10),"")</f>
        <v>7.4999999999999997E-3</v>
      </c>
      <c r="I11" s="327"/>
      <c r="J11" s="329"/>
      <c r="K11" s="355" t="str">
        <f>IFERROR(-J11/SUM($J$5:$J$6),"")</f>
        <v/>
      </c>
      <c r="L11" s="29"/>
      <c r="M11" s="559"/>
      <c r="N11" s="559"/>
      <c r="O11" s="559"/>
      <c r="P11" s="559"/>
      <c r="Q11" s="559"/>
      <c r="R11" s="559"/>
      <c r="S11" s="559"/>
      <c r="T11" s="559"/>
      <c r="U11" s="559"/>
    </row>
    <row r="12" spans="1:21">
      <c r="A12" s="73"/>
      <c r="B12" s="3"/>
      <c r="C12" t="s">
        <v>14</v>
      </c>
      <c r="D12" s="185"/>
      <c r="E12" s="185"/>
      <c r="F12" s="320"/>
      <c r="G12" s="352">
        <f>-SUM($G$8:$G$10)*VLOOKUP($C12,Cashflow!$C:$D,2,0)</f>
        <v>-1856.6324999999999</v>
      </c>
      <c r="H12" s="182">
        <f>IFERROR(-G12/SUM($G$8:$G$10),"")</f>
        <v>5.0000000000000001E-3</v>
      </c>
      <c r="I12" s="327"/>
      <c r="J12" s="329"/>
      <c r="K12" s="355" t="str">
        <f>IFERROR(-J12/SUM($J$5:$J$6),"")</f>
        <v/>
      </c>
      <c r="L12" s="29"/>
      <c r="M12" s="559"/>
      <c r="N12" s="559"/>
      <c r="O12" s="559"/>
      <c r="P12" s="559"/>
      <c r="Q12" s="559"/>
      <c r="R12" s="559"/>
      <c r="S12" s="559"/>
      <c r="T12" s="559"/>
      <c r="U12" s="559"/>
    </row>
    <row r="13" spans="1:21">
      <c r="A13" s="73"/>
      <c r="B13" s="3"/>
      <c r="C13" t="s">
        <v>15</v>
      </c>
      <c r="D13" s="185"/>
      <c r="E13" s="185"/>
      <c r="F13" s="320"/>
      <c r="G13" s="352">
        <f>-$G$8*VLOOKUP($C13,Cashflow!$C:$D,2,0)</f>
        <v>0</v>
      </c>
      <c r="H13" s="182">
        <f>IFERROR(-G13/SUM($G$8),"")</f>
        <v>0</v>
      </c>
      <c r="I13" s="327"/>
      <c r="J13" s="329"/>
      <c r="K13" s="355" t="str">
        <f>IFERROR(-J13/SUM($J$5:$J$6),"")</f>
        <v/>
      </c>
      <c r="L13" s="28"/>
      <c r="M13" s="559"/>
      <c r="N13" s="559"/>
      <c r="O13" s="559"/>
      <c r="P13" s="559"/>
      <c r="Q13" s="559"/>
      <c r="R13" s="559"/>
      <c r="S13" s="559"/>
      <c r="T13" s="559"/>
      <c r="U13" s="559"/>
    </row>
    <row r="14" spans="1:21" ht="13.15">
      <c r="A14" s="73"/>
      <c r="B14" s="3"/>
      <c r="C14" s="1" t="s">
        <v>16</v>
      </c>
      <c r="D14" s="35">
        <f>+SUM(D8:D13)</f>
        <v>0</v>
      </c>
      <c r="E14" s="35">
        <f>+SUM(E8:E13)</f>
        <v>0</v>
      </c>
      <c r="F14" s="321"/>
      <c r="G14" s="349">
        <f>+SUM(G8:G13)</f>
        <v>366684.91875000001</v>
      </c>
      <c r="H14" s="30"/>
      <c r="I14" s="327"/>
      <c r="J14" s="35">
        <f t="shared" ref="J14" si="0">+SUM(J8:J13)</f>
        <v>0</v>
      </c>
      <c r="K14" s="30">
        <f>+J14/U</f>
        <v>0</v>
      </c>
      <c r="L14" s="28"/>
      <c r="M14" s="330"/>
      <c r="N14" s="330"/>
      <c r="O14" s="330"/>
      <c r="P14" s="330"/>
    </row>
    <row r="15" spans="1:21" ht="13.15">
      <c r="A15" s="73"/>
      <c r="B15" s="3"/>
      <c r="F15" s="323"/>
      <c r="G15" s="351"/>
      <c r="H15" s="28"/>
      <c r="I15" s="322"/>
      <c r="J15" s="5"/>
      <c r="K15" s="28"/>
      <c r="L15" s="28"/>
      <c r="M15" s="330"/>
      <c r="N15" s="330"/>
      <c r="O15" s="330"/>
      <c r="P15" s="330"/>
    </row>
    <row r="16" spans="1:21">
      <c r="A16" s="73"/>
      <c r="B16" s="3"/>
      <c r="C16" t="s">
        <v>17</v>
      </c>
      <c r="D16" s="185"/>
      <c r="E16" s="185"/>
      <c r="F16" s="356"/>
      <c r="G16" s="348">
        <f>+Calculations!F5</f>
        <v>0</v>
      </c>
      <c r="H16" s="28">
        <f t="shared" ref="H16:H27" si="1">+G16/U</f>
        <v>0</v>
      </c>
      <c r="I16" s="327"/>
      <c r="J16" s="329"/>
      <c r="K16" s="28">
        <f t="shared" ref="K16:K27" si="2">+J16/U</f>
        <v>0</v>
      </c>
      <c r="L16" s="28"/>
      <c r="M16" s="330"/>
      <c r="N16" s="330"/>
      <c r="O16" s="330"/>
    </row>
    <row r="17" spans="1:15" ht="13.15">
      <c r="A17" s="73"/>
      <c r="B17" s="3"/>
      <c r="C17" t="s">
        <v>299</v>
      </c>
      <c r="D17" s="185"/>
      <c r="E17" s="185"/>
      <c r="F17" s="356"/>
      <c r="G17" s="348">
        <f>MIN(E17*(1+VLOOKUP($C17,Cashflow!$C:$D,2,0)),Calculations!F6)</f>
        <v>0</v>
      </c>
      <c r="H17" s="28">
        <f t="shared" si="1"/>
        <v>0</v>
      </c>
      <c r="I17" s="322"/>
      <c r="J17" s="329"/>
      <c r="K17" s="28">
        <f t="shared" si="2"/>
        <v>0</v>
      </c>
      <c r="L17" s="28"/>
      <c r="M17" s="330"/>
    </row>
    <row r="18" spans="1:15">
      <c r="A18" s="73"/>
      <c r="B18" s="3"/>
      <c r="C18" t="s">
        <v>300</v>
      </c>
      <c r="D18" s="185"/>
      <c r="E18" s="185"/>
      <c r="F18" s="356"/>
      <c r="G18" s="348">
        <f>MIN(E18*(1+VLOOKUP($C18,Cashflow!$C:$D,2,0)),Calculations!F7)</f>
        <v>0</v>
      </c>
      <c r="H18" s="28">
        <f t="shared" si="1"/>
        <v>0</v>
      </c>
      <c r="I18" s="327"/>
      <c r="J18" s="329"/>
      <c r="K18" s="28">
        <f t="shared" si="2"/>
        <v>0</v>
      </c>
      <c r="L18" s="28"/>
      <c r="M18" s="330"/>
    </row>
    <row r="19" spans="1:15">
      <c r="A19" s="73"/>
      <c r="B19" s="3"/>
      <c r="C19" t="s">
        <v>18</v>
      </c>
      <c r="D19" s="185"/>
      <c r="E19" s="185"/>
      <c r="F19" s="356"/>
      <c r="G19" s="348">
        <f>MIN(E19*(1+VLOOKUP($C19,Cashflow!$C:$D,2,0)),Calculations!F8)</f>
        <v>0</v>
      </c>
      <c r="H19" s="28">
        <f t="shared" si="1"/>
        <v>0</v>
      </c>
      <c r="I19" s="327"/>
      <c r="J19" s="329"/>
      <c r="K19" s="28">
        <f t="shared" si="2"/>
        <v>0</v>
      </c>
      <c r="L19" s="28"/>
      <c r="M19" s="330"/>
    </row>
    <row r="20" spans="1:15">
      <c r="A20" s="73"/>
      <c r="B20" s="3"/>
      <c r="C20" t="s">
        <v>19</v>
      </c>
      <c r="D20" s="185"/>
      <c r="E20" s="185"/>
      <c r="F20" s="356"/>
      <c r="G20" s="348">
        <f>+E20*(1+VLOOKUP($C20,Cashflow!$C:$D,2,0))</f>
        <v>0</v>
      </c>
      <c r="H20" s="28">
        <f t="shared" si="1"/>
        <v>0</v>
      </c>
      <c r="I20" s="327"/>
      <c r="J20" s="329"/>
      <c r="K20" s="28">
        <f t="shared" si="2"/>
        <v>0</v>
      </c>
      <c r="L20" s="28"/>
      <c r="M20" s="330"/>
    </row>
    <row r="21" spans="1:15">
      <c r="A21" s="73"/>
      <c r="B21" s="3"/>
      <c r="C21" t="s">
        <v>20</v>
      </c>
      <c r="D21" s="185"/>
      <c r="E21" s="185"/>
      <c r="F21" s="356"/>
      <c r="G21" s="348">
        <f>+E21*(1+VLOOKUP($C21,Cashflow!$C:$D,2,0))</f>
        <v>0</v>
      </c>
      <c r="H21" s="28">
        <f t="shared" si="1"/>
        <v>0</v>
      </c>
      <c r="I21" s="327"/>
      <c r="J21" s="329"/>
      <c r="K21" s="28">
        <f t="shared" si="2"/>
        <v>0</v>
      </c>
      <c r="L21" s="28"/>
      <c r="M21" s="330"/>
    </row>
    <row r="22" spans="1:15">
      <c r="A22" s="73"/>
      <c r="B22" s="3"/>
      <c r="C22" t="s">
        <v>21</v>
      </c>
      <c r="D22" s="185"/>
      <c r="E22" s="185"/>
      <c r="F22" s="356"/>
      <c r="G22" s="348">
        <f>MIN(E22*(1+VLOOKUP($C22,Cashflow!$C:$D,2,0)),Calculations!F11)</f>
        <v>0</v>
      </c>
      <c r="H22" s="28">
        <f t="shared" si="1"/>
        <v>0</v>
      </c>
      <c r="I22" s="327"/>
      <c r="J22" s="329"/>
      <c r="K22" s="28">
        <f t="shared" si="2"/>
        <v>0</v>
      </c>
      <c r="L22" s="28"/>
      <c r="M22" s="330"/>
    </row>
    <row r="23" spans="1:15" ht="13.15">
      <c r="A23" s="73"/>
      <c r="B23" s="3"/>
      <c r="C23" s="421" t="s">
        <v>42</v>
      </c>
      <c r="D23" s="185"/>
      <c r="E23" s="185"/>
      <c r="F23" s="356"/>
      <c r="G23" s="348">
        <f>+E23*(1+VLOOKUP($C23,Cashflow!$C:$D,2,0))</f>
        <v>0</v>
      </c>
      <c r="H23" s="28">
        <f t="shared" si="1"/>
        <v>0</v>
      </c>
      <c r="I23" s="327"/>
      <c r="J23" s="329"/>
      <c r="K23" s="28">
        <f t="shared" si="2"/>
        <v>0</v>
      </c>
      <c r="L23" s="28"/>
      <c r="M23" s="330"/>
    </row>
    <row r="24" spans="1:15" ht="13.15">
      <c r="A24" s="73"/>
      <c r="B24" s="3"/>
      <c r="C24" s="421" t="s">
        <v>22</v>
      </c>
      <c r="D24" s="185"/>
      <c r="E24" s="185"/>
      <c r="F24" s="356"/>
      <c r="G24" s="348">
        <f>+E24*(1+VLOOKUP($C24,Cashflow!$C:$D,2,0))</f>
        <v>0</v>
      </c>
      <c r="H24" s="28">
        <f t="shared" si="1"/>
        <v>0</v>
      </c>
      <c r="I24" s="327"/>
      <c r="J24" s="329"/>
      <c r="K24" s="28">
        <f t="shared" si="2"/>
        <v>0</v>
      </c>
      <c r="L24" s="28"/>
      <c r="M24" s="330"/>
    </row>
    <row r="25" spans="1:15" ht="13.15">
      <c r="A25" s="73"/>
      <c r="B25" s="3"/>
      <c r="C25" s="421" t="s">
        <v>23</v>
      </c>
      <c r="D25" s="185"/>
      <c r="E25" s="185"/>
      <c r="F25" s="356"/>
      <c r="G25" s="348">
        <f>+E25*(1+VLOOKUP($C25,Cashflow!$C:$D,2,0))</f>
        <v>0</v>
      </c>
      <c r="H25" s="28">
        <f t="shared" si="1"/>
        <v>0</v>
      </c>
      <c r="I25" s="327"/>
      <c r="J25" s="329"/>
      <c r="K25" s="28">
        <f t="shared" si="2"/>
        <v>0</v>
      </c>
      <c r="L25" s="28"/>
      <c r="M25" s="330"/>
    </row>
    <row r="26" spans="1:15">
      <c r="A26" s="73"/>
      <c r="B26" s="3"/>
      <c r="C26" t="s">
        <v>24</v>
      </c>
      <c r="D26" s="185"/>
      <c r="E26" s="185"/>
      <c r="F26" s="356"/>
      <c r="G26" s="348">
        <f>+E26*(1+VLOOKUP($C26,Cashflow!$C:$D,2,0))</f>
        <v>0</v>
      </c>
      <c r="H26" s="28">
        <f t="shared" si="1"/>
        <v>0</v>
      </c>
      <c r="I26" s="327"/>
      <c r="J26" s="329"/>
      <c r="K26" s="28">
        <f t="shared" si="2"/>
        <v>0</v>
      </c>
      <c r="L26" s="28"/>
      <c r="M26" s="330"/>
    </row>
    <row r="27" spans="1:15" ht="13.15">
      <c r="A27" s="73"/>
      <c r="B27" s="3"/>
      <c r="C27" s="1" t="s">
        <v>38</v>
      </c>
      <c r="D27" s="35">
        <f>+SUM(D16:D26)</f>
        <v>0</v>
      </c>
      <c r="E27" s="35">
        <f>+SUM(E16:E26)</f>
        <v>0</v>
      </c>
      <c r="F27" s="321"/>
      <c r="G27" s="349">
        <f>+SUM(G16:G26)</f>
        <v>0</v>
      </c>
      <c r="H27" s="30">
        <f t="shared" si="1"/>
        <v>0</v>
      </c>
      <c r="I27" s="327"/>
      <c r="J27" s="35">
        <f>+SUM(J16:J26)</f>
        <v>0</v>
      </c>
      <c r="K27" s="30">
        <f t="shared" si="2"/>
        <v>0</v>
      </c>
      <c r="L27" s="28"/>
      <c r="M27" s="330"/>
    </row>
    <row r="28" spans="1:15">
      <c r="A28" s="73"/>
      <c r="B28" s="3"/>
      <c r="D28" s="5"/>
      <c r="E28" s="5"/>
      <c r="F28" s="320"/>
      <c r="G28" s="352"/>
      <c r="H28" s="28"/>
      <c r="I28" s="327"/>
      <c r="J28" s="5"/>
      <c r="K28" s="28"/>
      <c r="L28" s="28"/>
      <c r="M28" s="330"/>
    </row>
    <row r="29" spans="1:15" ht="13.15">
      <c r="A29" s="73"/>
      <c r="B29" s="3"/>
      <c r="C29" s="1" t="s">
        <v>301</v>
      </c>
      <c r="D29" s="35">
        <f>+D14+D27</f>
        <v>0</v>
      </c>
      <c r="E29" s="35">
        <f>+E14+E27</f>
        <v>0</v>
      </c>
      <c r="F29" s="321"/>
      <c r="G29" s="349">
        <f>+G14+G27</f>
        <v>366684.91875000001</v>
      </c>
      <c r="H29" s="30">
        <f>+G29/U</f>
        <v>9167.1229687499999</v>
      </c>
      <c r="I29" s="327"/>
      <c r="J29" s="35">
        <f>+J14+J27</f>
        <v>0</v>
      </c>
      <c r="K29" s="28">
        <f t="shared" ref="K29" si="3">+J29/U</f>
        <v>0</v>
      </c>
      <c r="L29" s="28"/>
      <c r="M29" s="330"/>
      <c r="N29" s="330"/>
      <c r="O29" s="330"/>
    </row>
    <row r="30" spans="1:15">
      <c r="A30" s="73"/>
      <c r="B30" s="3"/>
      <c r="D30" s="5"/>
      <c r="E30" s="5"/>
      <c r="F30" s="320"/>
      <c r="G30" s="352"/>
      <c r="H30" s="28"/>
      <c r="I30" s="327"/>
      <c r="J30" s="5"/>
      <c r="K30" s="28"/>
      <c r="L30" s="28"/>
    </row>
    <row r="31" spans="1:15" ht="15">
      <c r="A31" s="73"/>
      <c r="B31" s="3"/>
      <c r="C31" s="7" t="s">
        <v>25</v>
      </c>
      <c r="D31" s="5"/>
      <c r="E31" s="5"/>
      <c r="F31" s="320"/>
      <c r="G31" s="352"/>
      <c r="H31" s="28"/>
      <c r="I31" s="327"/>
      <c r="J31" s="5"/>
      <c r="K31" s="28"/>
      <c r="L31" s="28"/>
    </row>
    <row r="32" spans="1:15">
      <c r="A32" s="73"/>
      <c r="B32" s="3"/>
      <c r="C32" t="s">
        <v>26</v>
      </c>
      <c r="D32" s="185"/>
      <c r="E32" s="185"/>
      <c r="F32" s="320"/>
      <c r="G32" s="348">
        <f>+E32*(1+VLOOKUP($C32,Cashflow!$C:$D,2,0))</f>
        <v>0</v>
      </c>
      <c r="H32" s="28">
        <f t="shared" ref="H32:H49" si="4">+G32/U</f>
        <v>0</v>
      </c>
      <c r="I32" s="327"/>
      <c r="J32" s="329"/>
      <c r="K32" s="28">
        <f t="shared" ref="K32:K51" si="5">+J32/U</f>
        <v>0</v>
      </c>
      <c r="L32" s="28"/>
    </row>
    <row r="33" spans="1:12">
      <c r="A33" s="73"/>
      <c r="B33" s="3"/>
      <c r="C33" t="s">
        <v>302</v>
      </c>
      <c r="D33" s="185"/>
      <c r="E33" s="185"/>
      <c r="F33" s="320"/>
      <c r="G33" s="348">
        <f>+E33*(1+VLOOKUP($C33,Cashflow!$C:$D,2,0))</f>
        <v>0</v>
      </c>
      <c r="H33" s="28">
        <f t="shared" si="4"/>
        <v>0</v>
      </c>
      <c r="I33" s="327"/>
      <c r="J33" s="329"/>
      <c r="K33" s="28">
        <f t="shared" si="5"/>
        <v>0</v>
      </c>
      <c r="L33" s="28"/>
    </row>
    <row r="34" spans="1:12">
      <c r="A34" s="73"/>
      <c r="B34" s="3"/>
      <c r="C34" t="s">
        <v>303</v>
      </c>
      <c r="D34" s="185"/>
      <c r="E34" s="185"/>
      <c r="F34" s="320"/>
      <c r="G34" s="348">
        <f>+E34*(1+VLOOKUP($C34,Cashflow!$C:$D,2,0))</f>
        <v>0</v>
      </c>
      <c r="H34" s="28">
        <f t="shared" si="4"/>
        <v>0</v>
      </c>
      <c r="I34" s="327"/>
      <c r="J34" s="329"/>
      <c r="K34" s="28">
        <f t="shared" si="5"/>
        <v>0</v>
      </c>
      <c r="L34" s="28"/>
    </row>
    <row r="35" spans="1:12">
      <c r="A35" s="73"/>
      <c r="B35" s="3"/>
      <c r="C35" t="s">
        <v>27</v>
      </c>
      <c r="D35" s="185"/>
      <c r="E35" s="185"/>
      <c r="F35" s="320"/>
      <c r="G35" s="348">
        <f>+E35*(1+VLOOKUP($C35,Cashflow!$C:$D,2,0))</f>
        <v>0</v>
      </c>
      <c r="H35" s="28">
        <f t="shared" si="4"/>
        <v>0</v>
      </c>
      <c r="I35" s="327"/>
      <c r="J35" s="329"/>
      <c r="K35" s="28">
        <f t="shared" si="5"/>
        <v>0</v>
      </c>
      <c r="L35" s="28"/>
    </row>
    <row r="36" spans="1:12">
      <c r="A36" s="73"/>
      <c r="B36" s="3"/>
      <c r="C36" t="s">
        <v>304</v>
      </c>
      <c r="D36" s="185"/>
      <c r="E36" s="185"/>
      <c r="F36" s="320"/>
      <c r="G36" s="348">
        <f>+E36*(1+VLOOKUP($C36,Cashflow!$C:$D,2,0))</f>
        <v>0</v>
      </c>
      <c r="H36" s="28">
        <f t="shared" si="4"/>
        <v>0</v>
      </c>
      <c r="I36" s="327"/>
      <c r="J36" s="329"/>
      <c r="K36" s="28">
        <f t="shared" si="5"/>
        <v>0</v>
      </c>
      <c r="L36" s="28"/>
    </row>
    <row r="37" spans="1:12">
      <c r="A37" s="73"/>
      <c r="B37" s="3"/>
      <c r="C37" t="s">
        <v>305</v>
      </c>
      <c r="D37" s="185"/>
      <c r="E37" s="185"/>
      <c r="F37" s="320"/>
      <c r="G37" s="348">
        <f>+E37*(1+VLOOKUP($C37,Cashflow!$C:$D,2,0))</f>
        <v>0</v>
      </c>
      <c r="H37" s="28">
        <f t="shared" si="4"/>
        <v>0</v>
      </c>
      <c r="I37" s="327"/>
      <c r="J37" s="329"/>
      <c r="K37" s="28">
        <f t="shared" si="5"/>
        <v>0</v>
      </c>
      <c r="L37" s="28"/>
    </row>
    <row r="38" spans="1:12">
      <c r="A38" s="73"/>
      <c r="B38" s="3"/>
      <c r="C38" t="s">
        <v>28</v>
      </c>
      <c r="D38" s="185"/>
      <c r="E38" s="185"/>
      <c r="F38" s="320"/>
      <c r="G38" s="348">
        <f>+E38*(1+VLOOKUP($C38,Cashflow!$C:$D,2,0))</f>
        <v>0</v>
      </c>
      <c r="H38" s="28">
        <f t="shared" si="4"/>
        <v>0</v>
      </c>
      <c r="I38" s="327"/>
      <c r="J38" s="329"/>
      <c r="K38" s="28">
        <f t="shared" si="5"/>
        <v>0</v>
      </c>
      <c r="L38" s="28"/>
    </row>
    <row r="39" spans="1:12" ht="13.15">
      <c r="A39" s="73"/>
      <c r="B39" s="3"/>
      <c r="C39" t="s">
        <v>306</v>
      </c>
      <c r="D39" s="185"/>
      <c r="E39" s="185"/>
      <c r="F39" s="320"/>
      <c r="G39" s="348">
        <f>MAX(E39*(1+VLOOKUP($C39,Cashflow!$C:$D,2,0)),Calculations!N18)</f>
        <v>0</v>
      </c>
      <c r="H39" s="28">
        <f t="shared" si="4"/>
        <v>0</v>
      </c>
      <c r="I39" s="322"/>
      <c r="J39" s="329"/>
      <c r="K39" s="28">
        <f t="shared" si="5"/>
        <v>0</v>
      </c>
      <c r="L39" s="28"/>
    </row>
    <row r="40" spans="1:12">
      <c r="A40" s="73"/>
      <c r="B40" s="3"/>
      <c r="C40" t="s">
        <v>29</v>
      </c>
      <c r="D40" s="185"/>
      <c r="E40" s="185"/>
      <c r="F40" s="320"/>
      <c r="G40" s="506">
        <f>+Dashboard!$H$21*$G$29</f>
        <v>29334.7935</v>
      </c>
      <c r="H40" s="28">
        <f t="shared" si="4"/>
        <v>733.36983750000002</v>
      </c>
      <c r="I40" s="327"/>
      <c r="J40" s="329"/>
      <c r="K40" s="28">
        <f t="shared" si="5"/>
        <v>0</v>
      </c>
      <c r="L40" s="433">
        <f>+G40/G29</f>
        <v>0.08</v>
      </c>
    </row>
    <row r="41" spans="1:12" ht="13.15">
      <c r="A41" s="73"/>
      <c r="B41" s="3"/>
      <c r="C41" t="s">
        <v>30</v>
      </c>
      <c r="D41" s="185"/>
      <c r="E41" s="185"/>
      <c r="F41" s="320"/>
      <c r="G41" s="348">
        <f>+E41*(1+VLOOKUP($C41,Cashflow!$C:$D,2,0))</f>
        <v>0</v>
      </c>
      <c r="H41" s="28">
        <f t="shared" si="4"/>
        <v>0</v>
      </c>
      <c r="I41" s="322"/>
      <c r="J41" s="329"/>
      <c r="K41" s="28">
        <f t="shared" si="5"/>
        <v>0</v>
      </c>
      <c r="L41" s="28"/>
    </row>
    <row r="42" spans="1:12">
      <c r="A42" s="73"/>
      <c r="B42" s="3"/>
      <c r="C42" t="s">
        <v>31</v>
      </c>
      <c r="D42" s="185"/>
      <c r="E42" s="185"/>
      <c r="F42" s="320"/>
      <c r="G42" s="348">
        <f>+E42*(1+VLOOKUP($C42,Cashflow!$C:$D,2,0))</f>
        <v>0</v>
      </c>
      <c r="H42" s="28">
        <f t="shared" si="4"/>
        <v>0</v>
      </c>
      <c r="I42" s="328"/>
      <c r="J42" s="329"/>
      <c r="K42" s="28">
        <f t="shared" si="5"/>
        <v>0</v>
      </c>
      <c r="L42" s="28"/>
    </row>
    <row r="43" spans="1:12">
      <c r="A43" s="73"/>
      <c r="B43" s="3"/>
      <c r="C43" t="s">
        <v>32</v>
      </c>
      <c r="D43" s="185"/>
      <c r="E43" s="185"/>
      <c r="F43" s="320"/>
      <c r="G43" s="348">
        <f>MAX(Calculations!K37,E43*(1+VLOOKUP($C43,Cashflow!$C:$D,2,0)))</f>
        <v>55000.000000000007</v>
      </c>
      <c r="H43" s="28">
        <f t="shared" si="4"/>
        <v>1375.0000000000002</v>
      </c>
      <c r="I43" s="328"/>
      <c r="J43" s="329"/>
      <c r="K43" s="28">
        <f t="shared" si="5"/>
        <v>0</v>
      </c>
      <c r="L43" s="28"/>
    </row>
    <row r="44" spans="1:12">
      <c r="A44" s="73"/>
      <c r="B44" s="3"/>
      <c r="C44" t="s">
        <v>33</v>
      </c>
      <c r="D44" s="185"/>
      <c r="E44" s="185"/>
      <c r="F44" s="320"/>
      <c r="G44" s="348">
        <f>+E44*(1+VLOOKUP($C44,Cashflow!$C:$D,2,0))</f>
        <v>0</v>
      </c>
      <c r="H44" s="28">
        <f t="shared" si="4"/>
        <v>0</v>
      </c>
      <c r="I44" s="328"/>
      <c r="J44" s="329"/>
      <c r="K44" s="28">
        <f t="shared" si="5"/>
        <v>0</v>
      </c>
      <c r="L44" s="28"/>
    </row>
    <row r="45" spans="1:12">
      <c r="A45" s="73"/>
      <c r="B45" s="3"/>
      <c r="C45" t="s">
        <v>35</v>
      </c>
      <c r="D45" s="185"/>
      <c r="E45" s="185"/>
      <c r="F45" s="320"/>
      <c r="G45" s="348">
        <f>+E45*(1+VLOOKUP($C45,Cashflow!$C:$D,2,0))</f>
        <v>0</v>
      </c>
      <c r="H45" s="28">
        <f t="shared" si="4"/>
        <v>0</v>
      </c>
      <c r="I45" s="328"/>
      <c r="J45" s="329"/>
      <c r="K45" s="28">
        <f t="shared" si="5"/>
        <v>0</v>
      </c>
      <c r="L45" s="28"/>
    </row>
    <row r="46" spans="1:12">
      <c r="A46" s="73"/>
      <c r="B46" s="3"/>
      <c r="C46" t="s">
        <v>307</v>
      </c>
      <c r="D46" s="185"/>
      <c r="E46" s="185"/>
      <c r="F46" s="320"/>
      <c r="G46" s="348">
        <f>+E46*(1+VLOOKUP($C46,Cashflow!$C:$D,2,0))</f>
        <v>0</v>
      </c>
      <c r="H46" s="28">
        <f t="shared" si="4"/>
        <v>0</v>
      </c>
      <c r="I46" s="328"/>
      <c r="J46" s="329"/>
      <c r="K46" s="28">
        <f t="shared" si="5"/>
        <v>0</v>
      </c>
      <c r="L46" s="28"/>
    </row>
    <row r="47" spans="1:12" ht="13.15">
      <c r="A47" s="73"/>
      <c r="B47" s="3"/>
      <c r="C47" s="421" t="s">
        <v>41</v>
      </c>
      <c r="D47" s="185"/>
      <c r="E47" s="185"/>
      <c r="F47" s="320"/>
      <c r="G47" s="348">
        <f>+E47*(1+VLOOKUP($C47,Cashflow!$C:$D,2,0))</f>
        <v>0</v>
      </c>
      <c r="H47" s="28">
        <f t="shared" si="4"/>
        <v>0</v>
      </c>
      <c r="I47" s="328"/>
      <c r="J47" s="329"/>
      <c r="K47" s="28">
        <f t="shared" si="5"/>
        <v>0</v>
      </c>
      <c r="L47" s="28"/>
    </row>
    <row r="48" spans="1:12" ht="13.15">
      <c r="A48" s="73"/>
      <c r="B48" s="3"/>
      <c r="C48" s="421" t="s">
        <v>40</v>
      </c>
      <c r="D48" s="185"/>
      <c r="E48" s="185"/>
      <c r="F48" s="320"/>
      <c r="G48" s="348">
        <f>+E48*(1+VLOOKUP($C48,Cashflow!$C:$D,2,0))</f>
        <v>0</v>
      </c>
      <c r="H48" s="28">
        <f t="shared" si="4"/>
        <v>0</v>
      </c>
      <c r="I48" s="328"/>
      <c r="J48" s="329"/>
      <c r="K48" s="28">
        <f t="shared" si="5"/>
        <v>0</v>
      </c>
      <c r="L48" s="28"/>
    </row>
    <row r="49" spans="1:12" ht="13.15">
      <c r="A49" s="73"/>
      <c r="B49" s="3"/>
      <c r="C49" s="421" t="s">
        <v>39</v>
      </c>
      <c r="D49" s="185"/>
      <c r="E49" s="185"/>
      <c r="F49" s="320"/>
      <c r="G49" s="348">
        <f>+E49*(1+VLOOKUP($C49,Cashflow!$C:$D,2,0))</f>
        <v>0</v>
      </c>
      <c r="H49" s="28">
        <f t="shared" si="4"/>
        <v>0</v>
      </c>
      <c r="I49" s="328"/>
      <c r="J49" s="329"/>
      <c r="K49" s="28">
        <f t="shared" si="5"/>
        <v>0</v>
      </c>
      <c r="L49" s="28"/>
    </row>
    <row r="50" spans="1:12" ht="13.15">
      <c r="A50" s="73"/>
      <c r="B50" s="3"/>
      <c r="C50" t="s">
        <v>313</v>
      </c>
      <c r="D50" s="185"/>
      <c r="E50" s="185"/>
      <c r="F50" s="320"/>
      <c r="G50" s="352">
        <f>+H50*U</f>
        <v>12000</v>
      </c>
      <c r="H50" s="31">
        <v>300</v>
      </c>
      <c r="I50" s="328"/>
      <c r="J50" s="329"/>
      <c r="K50" s="28">
        <f t="shared" si="5"/>
        <v>0</v>
      </c>
      <c r="L50" s="28"/>
    </row>
    <row r="51" spans="1:12" ht="13.15">
      <c r="A51" s="73"/>
      <c r="B51" s="3"/>
      <c r="C51" s="1" t="s">
        <v>311</v>
      </c>
      <c r="D51" s="35">
        <f>+SUM(D32:D50)</f>
        <v>0</v>
      </c>
      <c r="E51" s="35">
        <f>+SUM(E32:E50)</f>
        <v>0</v>
      </c>
      <c r="F51" s="321"/>
      <c r="G51" s="349">
        <f>+SUM(G32:G50)</f>
        <v>96334.7935</v>
      </c>
      <c r="H51" s="30">
        <f>+G51/U</f>
        <v>2408.3698374999999</v>
      </c>
      <c r="I51" s="328"/>
      <c r="J51" s="35">
        <f>+SUM(J32:J50)</f>
        <v>0</v>
      </c>
      <c r="K51" s="28">
        <f t="shared" si="5"/>
        <v>0</v>
      </c>
      <c r="L51" s="28"/>
    </row>
    <row r="52" spans="1:12">
      <c r="A52" s="73"/>
      <c r="B52" s="3"/>
      <c r="D52" s="5"/>
      <c r="E52" s="5"/>
      <c r="F52" s="320"/>
      <c r="G52" s="352"/>
      <c r="H52" s="28"/>
      <c r="I52" s="328"/>
      <c r="J52" s="5"/>
      <c r="K52" s="28"/>
      <c r="L52" s="28"/>
    </row>
    <row r="53" spans="1:12" ht="13.5" thickBot="1">
      <c r="A53" s="73"/>
      <c r="B53" s="3"/>
      <c r="C53" s="1" t="s">
        <v>36</v>
      </c>
      <c r="D53" s="6">
        <f>+D29-D51</f>
        <v>0</v>
      </c>
      <c r="E53" s="6">
        <f>+E29-E51</f>
        <v>0</v>
      </c>
      <c r="F53" s="324"/>
      <c r="G53" s="353">
        <f>+G29-G51</f>
        <v>270350.12525000004</v>
      </c>
      <c r="H53" s="30">
        <f>+G53/U</f>
        <v>6758.7531312500014</v>
      </c>
      <c r="I53" s="328"/>
      <c r="J53" s="6">
        <f>+J29-J51</f>
        <v>0</v>
      </c>
      <c r="K53" s="30">
        <f>+J52/U</f>
        <v>0</v>
      </c>
      <c r="L53" s="28"/>
    </row>
    <row r="54" spans="1:12" ht="13.9" thickTop="1" thickBot="1">
      <c r="A54" s="73"/>
      <c r="B54" s="3"/>
      <c r="C54" s="82" t="s">
        <v>225</v>
      </c>
      <c r="D54" s="83">
        <f>+D$53/P</f>
        <v>0</v>
      </c>
      <c r="E54" s="83">
        <f>+E$53/P</f>
        <v>0</v>
      </c>
      <c r="F54" s="325"/>
      <c r="G54" s="408">
        <f>+G$53/P</f>
        <v>5.4070025050000005E-2</v>
      </c>
      <c r="H54" s="28"/>
      <c r="I54" s="328"/>
      <c r="J54" s="83">
        <f>+J$53/P</f>
        <v>0</v>
      </c>
      <c r="K54" s="30"/>
      <c r="L54" s="28"/>
    </row>
    <row r="55" spans="1:12">
      <c r="A55" s="73"/>
      <c r="B55" s="3"/>
      <c r="C55" s="82" t="s">
        <v>440</v>
      </c>
      <c r="G55" s="83">
        <f>+G53/G29</f>
        <v>0.73728182269290565</v>
      </c>
      <c r="L55" s="28"/>
    </row>
    <row r="56" spans="1:12">
      <c r="E56" s="5"/>
      <c r="F56" s="5"/>
      <c r="H56" s="5"/>
      <c r="I56" s="5"/>
      <c r="J56" s="5"/>
    </row>
    <row r="57" spans="1:12" ht="12.75" customHeight="1">
      <c r="C57" t="s">
        <v>443</v>
      </c>
      <c r="E57" s="517" t="e">
        <f>+E53/AskingPrice</f>
        <v>#DIV/0!</v>
      </c>
      <c r="G57" s="517" t="e">
        <f>+G53/AskingPrice</f>
        <v>#DIV/0!</v>
      </c>
    </row>
    <row r="58" spans="1:12">
      <c r="C58" t="s">
        <v>444</v>
      </c>
      <c r="E58" s="517">
        <f>+E53/P</f>
        <v>0</v>
      </c>
      <c r="G58" s="517">
        <f>+G53/P</f>
        <v>5.4070025050000005E-2</v>
      </c>
    </row>
    <row r="85" spans="5:10">
      <c r="E85" s="5"/>
      <c r="F85" s="5"/>
      <c r="G85" s="5"/>
      <c r="H85" s="5"/>
      <c r="I85" s="5"/>
      <c r="J85" s="5"/>
    </row>
    <row r="86" spans="5:10">
      <c r="E86" s="5"/>
      <c r="F86" s="5"/>
      <c r="G86" s="5"/>
      <c r="H86" s="5"/>
      <c r="I86" s="5"/>
      <c r="J86" s="5"/>
    </row>
    <row r="87" spans="5:10">
      <c r="E87" s="5"/>
      <c r="F87" s="5"/>
      <c r="G87" s="5"/>
      <c r="H87" s="5"/>
      <c r="I87" s="5"/>
      <c r="J87" s="5"/>
    </row>
    <row r="88" spans="5:10">
      <c r="E88" s="5"/>
      <c r="F88" s="5"/>
      <c r="G88" s="5"/>
      <c r="H88" s="5"/>
      <c r="I88" s="5"/>
      <c r="J88" s="5"/>
    </row>
    <row r="89" spans="5:10">
      <c r="E89" s="5"/>
      <c r="F89" s="5"/>
      <c r="G89" s="5"/>
      <c r="H89" s="5"/>
      <c r="I89" s="5"/>
      <c r="J89" s="5"/>
    </row>
    <row r="90" spans="5:10">
      <c r="E90" s="5"/>
      <c r="F90" s="5"/>
      <c r="G90" s="5"/>
      <c r="H90" s="5"/>
      <c r="I90" s="5"/>
      <c r="J90" s="5"/>
    </row>
    <row r="91" spans="5:10">
      <c r="E91" s="5"/>
      <c r="F91" s="5"/>
      <c r="G91" s="5"/>
      <c r="H91" s="5"/>
      <c r="I91" s="5"/>
      <c r="J91" s="5"/>
    </row>
    <row r="92" spans="5:10">
      <c r="E92" s="5"/>
      <c r="F92" s="5"/>
      <c r="G92" s="5"/>
      <c r="H92" s="5"/>
      <c r="I92" s="5"/>
      <c r="J92" s="5"/>
    </row>
    <row r="93" spans="5:10">
      <c r="E93" s="5"/>
      <c r="F93" s="5"/>
      <c r="G93" s="5"/>
      <c r="H93" s="5"/>
      <c r="I93" s="5"/>
      <c r="J93" s="5"/>
    </row>
    <row r="94" spans="5:10">
      <c r="E94" s="5"/>
      <c r="F94" s="5"/>
      <c r="G94" s="5"/>
      <c r="H94" s="5"/>
      <c r="I94" s="5"/>
      <c r="J94" s="5"/>
    </row>
    <row r="95" spans="5:10">
      <c r="E95" s="5"/>
      <c r="F95" s="5"/>
      <c r="G95" s="5"/>
      <c r="H95" s="5"/>
      <c r="I95" s="5"/>
      <c r="J95" s="5"/>
    </row>
    <row r="96" spans="5:10">
      <c r="E96" s="5"/>
      <c r="F96" s="5"/>
      <c r="G96" s="5"/>
      <c r="H96" s="5"/>
      <c r="I96" s="5"/>
      <c r="J96" s="5"/>
    </row>
    <row r="97" spans="5:10">
      <c r="E97" s="5"/>
      <c r="F97" s="5"/>
      <c r="G97" s="5"/>
      <c r="H97" s="5"/>
      <c r="I97" s="5"/>
      <c r="J97" s="5"/>
    </row>
    <row r="98" spans="5:10">
      <c r="E98" s="5"/>
      <c r="F98" s="5"/>
      <c r="G98" s="5"/>
      <c r="H98" s="5"/>
      <c r="I98" s="5"/>
      <c r="J98" s="5"/>
    </row>
    <row r="99" spans="5:10">
      <c r="E99" s="5"/>
      <c r="F99" s="5"/>
      <c r="G99" s="5"/>
      <c r="H99" s="5"/>
      <c r="I99" s="5"/>
      <c r="J99" s="5"/>
    </row>
    <row r="100" spans="5:10">
      <c r="E100" s="5"/>
      <c r="F100" s="5"/>
      <c r="G100" s="5"/>
      <c r="H100" s="5"/>
      <c r="I100" s="5"/>
      <c r="J100" s="5"/>
    </row>
    <row r="101" spans="5:10">
      <c r="E101" s="5"/>
      <c r="F101" s="5"/>
      <c r="G101" s="5"/>
      <c r="H101" s="5"/>
      <c r="I101" s="5"/>
      <c r="J101" s="5"/>
    </row>
    <row r="102" spans="5:10">
      <c r="E102" s="5"/>
      <c r="F102" s="5"/>
      <c r="G102" s="5"/>
      <c r="H102" s="5"/>
      <c r="I102" s="5"/>
      <c r="J102" s="5"/>
    </row>
    <row r="103" spans="5:10">
      <c r="E103" s="5"/>
      <c r="F103" s="5"/>
      <c r="G103" s="5"/>
      <c r="H103" s="5"/>
      <c r="I103" s="5"/>
      <c r="J103" s="5"/>
    </row>
    <row r="104" spans="5:10">
      <c r="E104" s="5"/>
      <c r="F104" s="5"/>
      <c r="G104" s="5"/>
      <c r="H104" s="5"/>
      <c r="I104" s="5"/>
      <c r="J104" s="5"/>
    </row>
    <row r="105" spans="5:10">
      <c r="E105" s="5"/>
      <c r="F105" s="5"/>
      <c r="G105" s="5"/>
      <c r="H105" s="5"/>
      <c r="I105" s="5"/>
      <c r="J105" s="5"/>
    </row>
    <row r="106" spans="5:10">
      <c r="E106" s="5"/>
      <c r="F106" s="5"/>
      <c r="G106" s="5"/>
      <c r="H106" s="5"/>
      <c r="I106" s="5"/>
      <c r="J106" s="5"/>
    </row>
    <row r="107" spans="5:10">
      <c r="E107" s="5"/>
      <c r="F107" s="5"/>
      <c r="G107" s="5"/>
      <c r="H107" s="5"/>
      <c r="I107" s="5"/>
      <c r="J107" s="5"/>
    </row>
    <row r="108" spans="5:10">
      <c r="E108" s="5"/>
      <c r="F108" s="5"/>
      <c r="G108" s="5"/>
      <c r="H108" s="5"/>
      <c r="I108" s="5"/>
      <c r="J108" s="5"/>
    </row>
    <row r="109" spans="5:10">
      <c r="E109" s="5"/>
      <c r="F109" s="5"/>
      <c r="G109" s="5"/>
      <c r="H109" s="5"/>
      <c r="I109" s="5"/>
      <c r="J109" s="5"/>
    </row>
    <row r="110" spans="5:10">
      <c r="E110" s="5"/>
      <c r="F110" s="5"/>
      <c r="G110" s="5"/>
      <c r="H110" s="5"/>
      <c r="I110" s="5"/>
      <c r="J110" s="5"/>
    </row>
    <row r="111" spans="5:10">
      <c r="E111" s="5"/>
      <c r="F111" s="5"/>
      <c r="G111" s="5"/>
      <c r="H111" s="5"/>
      <c r="I111" s="5"/>
      <c r="J111" s="5"/>
    </row>
    <row r="112" spans="5:10">
      <c r="E112" s="5"/>
      <c r="F112" s="5"/>
      <c r="G112" s="5"/>
      <c r="H112" s="5"/>
      <c r="I112" s="5"/>
      <c r="J112" s="5"/>
    </row>
  </sheetData>
  <mergeCells count="1">
    <mergeCell ref="M4:U13"/>
  </mergeCells>
  <dataValidations disablePrompts="1" count="1">
    <dataValidation allowBlank="1" showInputMessage="1" showErrorMessage="1" promptTitle="Gain (Loss) to Lease:" prompt="Since not all units will increase to the pro forma rent the gain (loss) to lease represents the lag from one year to the next." sqref="C7" xr:uid="{00000000-0002-0000-0600-000000000000}"/>
  </dataValidations>
  <pageMargins left="0.7" right="0.7" top="0.75" bottom="0.75" header="0.3" footer="0.3"/>
  <pageSetup orientation="portrait" r:id="rId1"/>
  <headerFooter>
    <oddFooter>&amp;C&amp;"Copperplate Gothic Light,Bold"&amp;16&amp;K04-049Chavis Capital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AA126"/>
  <sheetViews>
    <sheetView showGridLines="0" zoomScaleNormal="100" workbookViewId="0">
      <pane xSplit="3" ySplit="4" topLeftCell="D15" activePane="bottomRight" state="frozen"/>
      <selection pane="topRight" activeCell="D1" sqref="D1"/>
      <selection pane="bottomLeft" activeCell="A4" sqref="A4"/>
      <selection pane="bottomRight" activeCell="D48" sqref="D48"/>
    </sheetView>
  </sheetViews>
  <sheetFormatPr defaultRowHeight="12.75" outlineLevelRow="1"/>
  <cols>
    <col min="1" max="1" width="4.86328125" customWidth="1"/>
    <col min="2" max="2" width="0.6640625" customWidth="1"/>
    <col min="3" max="3" width="24.6640625" bestFit="1" customWidth="1"/>
    <col min="4" max="14" width="10.265625" bestFit="1" customWidth="1"/>
  </cols>
  <sheetData>
    <row r="1" spans="1:27" ht="30">
      <c r="A1" s="74" t="s">
        <v>368</v>
      </c>
      <c r="B1" s="74"/>
      <c r="C1" s="77"/>
      <c r="D1" s="77"/>
      <c r="E1" s="77"/>
      <c r="F1" s="77"/>
      <c r="G1" s="77"/>
      <c r="H1" s="77"/>
      <c r="I1" s="77"/>
      <c r="J1" s="77"/>
      <c r="K1" s="77"/>
      <c r="L1" s="77"/>
      <c r="M1" s="77"/>
      <c r="N1" s="409">
        <f>+Name</f>
        <v>0</v>
      </c>
    </row>
    <row r="2" spans="1:27" ht="3.75" hidden="1" customHeight="1" outlineLevel="1">
      <c r="A2" s="74"/>
      <c r="B2" s="163"/>
      <c r="C2" s="164"/>
      <c r="D2" s="191">
        <f t="shared" ref="D2:N2" si="0">+IF(D$4&lt;=H,1,0)</f>
        <v>1</v>
      </c>
      <c r="E2" s="191">
        <f t="shared" si="0"/>
        <v>1</v>
      </c>
      <c r="F2" s="191">
        <f t="shared" si="0"/>
        <v>1</v>
      </c>
      <c r="G2" s="191">
        <f t="shared" si="0"/>
        <v>1</v>
      </c>
      <c r="H2" s="191">
        <f t="shared" si="0"/>
        <v>1</v>
      </c>
      <c r="I2" s="191">
        <f t="shared" si="0"/>
        <v>1</v>
      </c>
      <c r="J2" s="191">
        <f t="shared" si="0"/>
        <v>1</v>
      </c>
      <c r="K2" s="191">
        <f t="shared" si="0"/>
        <v>0</v>
      </c>
      <c r="L2" s="191">
        <f t="shared" si="0"/>
        <v>0</v>
      </c>
      <c r="M2" s="191">
        <f t="shared" si="0"/>
        <v>0</v>
      </c>
      <c r="N2" s="191">
        <f t="shared" si="0"/>
        <v>0</v>
      </c>
    </row>
    <row r="3" spans="1:27" ht="3.75" hidden="1" customHeight="1" outlineLevel="1">
      <c r="A3" s="74"/>
      <c r="B3" s="163"/>
      <c r="C3" s="164"/>
      <c r="D3" s="164"/>
      <c r="E3" s="191">
        <v>3</v>
      </c>
      <c r="F3" s="191">
        <f>+E3+1</f>
        <v>4</v>
      </c>
      <c r="G3" s="191">
        <f t="shared" ref="G3:N3" si="1">+F3+1</f>
        <v>5</v>
      </c>
      <c r="H3" s="191">
        <f t="shared" si="1"/>
        <v>6</v>
      </c>
      <c r="I3" s="191">
        <f t="shared" si="1"/>
        <v>7</v>
      </c>
      <c r="J3" s="191">
        <f t="shared" si="1"/>
        <v>8</v>
      </c>
      <c r="K3" s="191">
        <f t="shared" si="1"/>
        <v>9</v>
      </c>
      <c r="L3" s="191">
        <f t="shared" si="1"/>
        <v>10</v>
      </c>
      <c r="M3" s="191">
        <f t="shared" si="1"/>
        <v>11</v>
      </c>
      <c r="N3" s="191">
        <f t="shared" si="1"/>
        <v>12</v>
      </c>
    </row>
    <row r="4" spans="1:27" ht="15" collapsed="1">
      <c r="A4" s="73"/>
      <c r="B4" s="3"/>
      <c r="C4" s="7"/>
      <c r="D4" s="165">
        <v>1</v>
      </c>
      <c r="E4" s="165">
        <f>+D4+1</f>
        <v>2</v>
      </c>
      <c r="F4" s="165">
        <f t="shared" ref="F4:N4" si="2">+E4+1</f>
        <v>3</v>
      </c>
      <c r="G4" s="165">
        <f t="shared" si="2"/>
        <v>4</v>
      </c>
      <c r="H4" s="165">
        <f t="shared" si="2"/>
        <v>5</v>
      </c>
      <c r="I4" s="165">
        <f t="shared" si="2"/>
        <v>6</v>
      </c>
      <c r="J4" s="165">
        <f t="shared" si="2"/>
        <v>7</v>
      </c>
      <c r="K4" s="165">
        <f t="shared" si="2"/>
        <v>8</v>
      </c>
      <c r="L4" s="165">
        <f t="shared" si="2"/>
        <v>9</v>
      </c>
      <c r="M4" s="165">
        <f t="shared" si="2"/>
        <v>10</v>
      </c>
      <c r="N4" s="165">
        <f t="shared" si="2"/>
        <v>11</v>
      </c>
      <c r="P4" s="13" t="s">
        <v>44</v>
      </c>
    </row>
    <row r="5" spans="1:27" ht="15.75" customHeight="1">
      <c r="A5" s="73"/>
      <c r="B5" s="3"/>
      <c r="C5" s="7"/>
      <c r="D5" s="173">
        <f ca="1">+EDATE(CDate,6)-1</f>
        <v>44592</v>
      </c>
      <c r="E5" s="173">
        <f ca="1">+EDATE(D5,12)</f>
        <v>44957</v>
      </c>
      <c r="F5" s="173">
        <f t="shared" ref="F5:N5" ca="1" si="3">+EDATE(E5,12)</f>
        <v>45322</v>
      </c>
      <c r="G5" s="173">
        <f t="shared" ca="1" si="3"/>
        <v>45688</v>
      </c>
      <c r="H5" s="173">
        <f t="shared" ca="1" si="3"/>
        <v>46053</v>
      </c>
      <c r="I5" s="173">
        <f t="shared" ca="1" si="3"/>
        <v>46418</v>
      </c>
      <c r="J5" s="173">
        <f t="shared" ca="1" si="3"/>
        <v>46783</v>
      </c>
      <c r="K5" s="173">
        <f t="shared" ca="1" si="3"/>
        <v>47149</v>
      </c>
      <c r="L5" s="173">
        <f t="shared" ca="1" si="3"/>
        <v>47514</v>
      </c>
      <c r="M5" s="173">
        <f t="shared" ca="1" si="3"/>
        <v>47879</v>
      </c>
      <c r="N5" s="173">
        <f t="shared" ca="1" si="3"/>
        <v>48244</v>
      </c>
      <c r="P5" s="560" t="s">
        <v>413</v>
      </c>
      <c r="Q5" s="560"/>
      <c r="R5" s="560"/>
      <c r="S5" s="560"/>
      <c r="T5" s="560"/>
      <c r="U5" s="560"/>
      <c r="V5" s="560"/>
      <c r="W5" s="560"/>
      <c r="X5" s="560"/>
      <c r="Y5" s="560"/>
      <c r="Z5" s="560"/>
      <c r="AA5" s="560"/>
    </row>
    <row r="6" spans="1:27" ht="15.4" thickBot="1">
      <c r="A6" s="73"/>
      <c r="B6" s="3"/>
      <c r="C6" s="7" t="s">
        <v>37</v>
      </c>
      <c r="P6" s="560"/>
      <c r="Q6" s="560"/>
      <c r="R6" s="560"/>
      <c r="S6" s="560"/>
      <c r="T6" s="560"/>
      <c r="U6" s="560"/>
      <c r="V6" s="560"/>
      <c r="W6" s="560"/>
      <c r="X6" s="560"/>
      <c r="Y6" s="560"/>
      <c r="Z6" s="560"/>
      <c r="AA6" s="560"/>
    </row>
    <row r="7" spans="1:27" ht="13.15">
      <c r="A7" s="73"/>
      <c r="B7" s="3"/>
      <c r="C7" s="170" t="str">
        <f>+Worksheet!C5</f>
        <v>Market Rent</v>
      </c>
      <c r="D7" s="171">
        <v>0.02</v>
      </c>
      <c r="E7" s="172">
        <f>+D7</f>
        <v>0.02</v>
      </c>
      <c r="F7" s="172">
        <f t="shared" ref="F7:N7" si="4">+E7</f>
        <v>0.02</v>
      </c>
      <c r="G7" s="172">
        <f t="shared" si="4"/>
        <v>0.02</v>
      </c>
      <c r="H7" s="172">
        <f t="shared" si="4"/>
        <v>0.02</v>
      </c>
      <c r="I7" s="172">
        <f t="shared" si="4"/>
        <v>0.02</v>
      </c>
      <c r="J7" s="172">
        <f t="shared" si="4"/>
        <v>0.02</v>
      </c>
      <c r="K7" s="172">
        <f t="shared" si="4"/>
        <v>0.02</v>
      </c>
      <c r="L7" s="172">
        <f t="shared" si="4"/>
        <v>0.02</v>
      </c>
      <c r="M7" s="172">
        <f t="shared" si="4"/>
        <v>0.02</v>
      </c>
      <c r="N7" s="172">
        <f t="shared" si="4"/>
        <v>0.02</v>
      </c>
      <c r="P7" s="560"/>
      <c r="Q7" s="560"/>
      <c r="R7" s="560"/>
      <c r="S7" s="560"/>
      <c r="T7" s="560"/>
      <c r="U7" s="560"/>
      <c r="V7" s="560"/>
      <c r="W7" s="560"/>
      <c r="X7" s="560"/>
      <c r="Y7" s="560"/>
      <c r="Z7" s="560"/>
      <c r="AA7" s="560"/>
    </row>
    <row r="8" spans="1:27" ht="13.5" thickBot="1">
      <c r="A8" s="73"/>
      <c r="B8" s="3"/>
      <c r="C8" s="160" t="str">
        <f>+Worksheet!C6</f>
        <v>Rent Premium</v>
      </c>
      <c r="D8" s="166">
        <f>+D7</f>
        <v>0.02</v>
      </c>
      <c r="E8" s="167">
        <f t="shared" ref="E8:N8" si="5">+D8</f>
        <v>0.02</v>
      </c>
      <c r="F8" s="167">
        <f t="shared" si="5"/>
        <v>0.02</v>
      </c>
      <c r="G8" s="167">
        <f t="shared" si="5"/>
        <v>0.02</v>
      </c>
      <c r="H8" s="167">
        <f t="shared" si="5"/>
        <v>0.02</v>
      </c>
      <c r="I8" s="167">
        <f t="shared" si="5"/>
        <v>0.02</v>
      </c>
      <c r="J8" s="167">
        <f t="shared" si="5"/>
        <v>0.02</v>
      </c>
      <c r="K8" s="167">
        <f t="shared" si="5"/>
        <v>0.02</v>
      </c>
      <c r="L8" s="167">
        <f t="shared" si="5"/>
        <v>0.02</v>
      </c>
      <c r="M8" s="167">
        <f t="shared" si="5"/>
        <v>0.02</v>
      </c>
      <c r="N8" s="167">
        <f t="shared" si="5"/>
        <v>0.02</v>
      </c>
      <c r="P8" s="560"/>
      <c r="Q8" s="560"/>
      <c r="R8" s="560"/>
      <c r="S8" s="560"/>
      <c r="T8" s="560"/>
      <c r="U8" s="560"/>
      <c r="V8" s="560"/>
      <c r="W8" s="560"/>
      <c r="X8" s="560"/>
      <c r="Y8" s="560"/>
      <c r="Z8" s="560"/>
      <c r="AA8" s="560"/>
    </row>
    <row r="9" spans="1:27" ht="13.15">
      <c r="A9" s="73"/>
      <c r="B9" s="3"/>
      <c r="C9" s="56"/>
      <c r="D9" s="168"/>
      <c r="E9" s="169"/>
      <c r="F9" s="169"/>
      <c r="G9" s="169"/>
      <c r="H9" s="169"/>
      <c r="I9" s="169"/>
      <c r="J9" s="169"/>
      <c r="K9" s="169"/>
      <c r="L9" s="169"/>
      <c r="M9" s="169"/>
      <c r="N9" s="169"/>
      <c r="P9" s="560"/>
      <c r="Q9" s="560"/>
      <c r="R9" s="560"/>
      <c r="S9" s="560"/>
      <c r="T9" s="560"/>
      <c r="U9" s="560"/>
      <c r="V9" s="560"/>
      <c r="W9" s="560"/>
      <c r="X9" s="560"/>
      <c r="Y9" s="560"/>
      <c r="Z9" s="560"/>
      <c r="AA9" s="560"/>
    </row>
    <row r="10" spans="1:27" ht="15.4" thickBot="1">
      <c r="A10" s="73"/>
      <c r="B10" s="3"/>
      <c r="C10" s="7" t="s">
        <v>309</v>
      </c>
      <c r="D10" s="168"/>
      <c r="E10" s="169"/>
      <c r="F10" s="169"/>
      <c r="G10" s="169"/>
      <c r="H10" s="169"/>
      <c r="I10" s="169"/>
      <c r="J10" s="169"/>
      <c r="K10" s="169"/>
      <c r="L10" s="169"/>
      <c r="M10" s="169"/>
      <c r="N10" s="169"/>
      <c r="P10" s="560"/>
      <c r="Q10" s="560"/>
      <c r="R10" s="560"/>
      <c r="S10" s="560"/>
      <c r="T10" s="560"/>
      <c r="U10" s="560"/>
      <c r="V10" s="560"/>
      <c r="W10" s="560"/>
      <c r="X10" s="560"/>
      <c r="Y10" s="560"/>
      <c r="Z10" s="560"/>
      <c r="AA10" s="560"/>
    </row>
    <row r="11" spans="1:27" ht="13.15">
      <c r="A11" s="73"/>
      <c r="B11" s="3"/>
      <c r="C11" s="170" t="str">
        <f>+Worksheet!C10</f>
        <v>Vacancy</v>
      </c>
      <c r="D11" s="171">
        <v>0.05</v>
      </c>
      <c r="E11" s="172">
        <f t="shared" ref="E11:N11" si="6">+D11</f>
        <v>0.05</v>
      </c>
      <c r="F11" s="172">
        <f t="shared" si="6"/>
        <v>0.05</v>
      </c>
      <c r="G11" s="172">
        <f t="shared" si="6"/>
        <v>0.05</v>
      </c>
      <c r="H11" s="172">
        <f t="shared" si="6"/>
        <v>0.05</v>
      </c>
      <c r="I11" s="172">
        <f t="shared" si="6"/>
        <v>0.05</v>
      </c>
      <c r="J11" s="172">
        <f t="shared" si="6"/>
        <v>0.05</v>
      </c>
      <c r="K11" s="172">
        <f t="shared" si="6"/>
        <v>0.05</v>
      </c>
      <c r="L11" s="172">
        <f t="shared" si="6"/>
        <v>0.05</v>
      </c>
      <c r="M11" s="172">
        <f t="shared" si="6"/>
        <v>0.05</v>
      </c>
      <c r="N11" s="172">
        <f t="shared" si="6"/>
        <v>0.05</v>
      </c>
      <c r="P11" s="560"/>
      <c r="Q11" s="560"/>
      <c r="R11" s="560"/>
      <c r="S11" s="560"/>
      <c r="T11" s="560"/>
      <c r="U11" s="560"/>
      <c r="V11" s="560"/>
      <c r="W11" s="560"/>
      <c r="X11" s="560"/>
      <c r="Y11" s="560"/>
      <c r="Z11" s="560"/>
      <c r="AA11" s="560"/>
    </row>
    <row r="12" spans="1:27" ht="13.15">
      <c r="A12" s="73"/>
      <c r="B12" s="3"/>
      <c r="C12" t="str">
        <f>+Worksheet!C11</f>
        <v>Concessions</v>
      </c>
      <c r="D12" s="111">
        <v>7.4999999999999997E-3</v>
      </c>
      <c r="E12" s="23">
        <f t="shared" ref="E12" si="7">+D12</f>
        <v>7.4999999999999997E-3</v>
      </c>
      <c r="F12" s="23">
        <f t="shared" ref="F12" si="8">+E12</f>
        <v>7.4999999999999997E-3</v>
      </c>
      <c r="G12" s="23">
        <f t="shared" ref="G12" si="9">+F12</f>
        <v>7.4999999999999997E-3</v>
      </c>
      <c r="H12" s="23">
        <f t="shared" ref="H12" si="10">+G12</f>
        <v>7.4999999999999997E-3</v>
      </c>
      <c r="I12" s="23">
        <f t="shared" ref="I12" si="11">+H12</f>
        <v>7.4999999999999997E-3</v>
      </c>
      <c r="J12" s="23">
        <f t="shared" ref="J12" si="12">+I12</f>
        <v>7.4999999999999997E-3</v>
      </c>
      <c r="K12" s="23">
        <f t="shared" ref="K12" si="13">+J12</f>
        <v>7.4999999999999997E-3</v>
      </c>
      <c r="L12" s="23">
        <f t="shared" ref="L12" si="14">+K12</f>
        <v>7.4999999999999997E-3</v>
      </c>
      <c r="M12" s="23">
        <f t="shared" ref="M12" si="15">+L12</f>
        <v>7.4999999999999997E-3</v>
      </c>
      <c r="N12" s="23">
        <f t="shared" ref="N12" si="16">+M12</f>
        <v>7.4999999999999997E-3</v>
      </c>
    </row>
    <row r="13" spans="1:27" ht="13.15">
      <c r="A13" s="73"/>
      <c r="B13" s="3"/>
      <c r="C13" t="str">
        <f>+Worksheet!C12</f>
        <v>Bad Debt</v>
      </c>
      <c r="D13" s="111">
        <v>5.0000000000000001E-3</v>
      </c>
      <c r="E13" s="23">
        <f t="shared" ref="E13:N13" si="17">+D13</f>
        <v>5.0000000000000001E-3</v>
      </c>
      <c r="F13" s="23">
        <f t="shared" si="17"/>
        <v>5.0000000000000001E-3</v>
      </c>
      <c r="G13" s="23">
        <f t="shared" si="17"/>
        <v>5.0000000000000001E-3</v>
      </c>
      <c r="H13" s="23">
        <f t="shared" si="17"/>
        <v>5.0000000000000001E-3</v>
      </c>
      <c r="I13" s="23">
        <f t="shared" si="17"/>
        <v>5.0000000000000001E-3</v>
      </c>
      <c r="J13" s="23">
        <f t="shared" si="17"/>
        <v>5.0000000000000001E-3</v>
      </c>
      <c r="K13" s="23">
        <f t="shared" si="17"/>
        <v>5.0000000000000001E-3</v>
      </c>
      <c r="L13" s="23">
        <f t="shared" si="17"/>
        <v>5.0000000000000001E-3</v>
      </c>
      <c r="M13" s="23">
        <f t="shared" si="17"/>
        <v>5.0000000000000001E-3</v>
      </c>
      <c r="N13" s="23">
        <f t="shared" si="17"/>
        <v>5.0000000000000001E-3</v>
      </c>
    </row>
    <row r="14" spans="1:27" ht="13.5" thickBot="1">
      <c r="A14" s="73"/>
      <c r="B14" s="3"/>
      <c r="C14" s="160" t="str">
        <f>+Worksheet!C13</f>
        <v>Non Revenue Units</v>
      </c>
      <c r="D14" s="166">
        <v>0</v>
      </c>
      <c r="E14" s="167">
        <f t="shared" ref="E14:N14" si="18">+D14</f>
        <v>0</v>
      </c>
      <c r="F14" s="167">
        <f t="shared" si="18"/>
        <v>0</v>
      </c>
      <c r="G14" s="167">
        <f t="shared" si="18"/>
        <v>0</v>
      </c>
      <c r="H14" s="167">
        <f t="shared" si="18"/>
        <v>0</v>
      </c>
      <c r="I14" s="167">
        <f t="shared" si="18"/>
        <v>0</v>
      </c>
      <c r="J14" s="167">
        <f t="shared" si="18"/>
        <v>0</v>
      </c>
      <c r="K14" s="167">
        <f t="shared" si="18"/>
        <v>0</v>
      </c>
      <c r="L14" s="167">
        <f t="shared" si="18"/>
        <v>0</v>
      </c>
      <c r="M14" s="167">
        <f t="shared" si="18"/>
        <v>0</v>
      </c>
      <c r="N14" s="167">
        <f t="shared" si="18"/>
        <v>0</v>
      </c>
    </row>
    <row r="15" spans="1:27" ht="13.15">
      <c r="A15" s="73"/>
      <c r="B15" s="3"/>
      <c r="C15" s="56"/>
      <c r="D15" s="168"/>
      <c r="E15" s="169"/>
      <c r="F15" s="169"/>
      <c r="G15" s="169"/>
      <c r="H15" s="169"/>
      <c r="I15" s="169"/>
      <c r="J15" s="169"/>
      <c r="K15" s="169"/>
      <c r="L15" s="169"/>
      <c r="M15" s="169"/>
      <c r="N15" s="169"/>
    </row>
    <row r="16" spans="1:27" ht="15.4" thickBot="1">
      <c r="A16" s="73"/>
      <c r="B16" s="3"/>
      <c r="C16" s="7" t="s">
        <v>310</v>
      </c>
      <c r="D16" s="111"/>
      <c r="E16" s="23"/>
      <c r="F16" s="23"/>
      <c r="G16" s="23"/>
      <c r="H16" s="23"/>
      <c r="I16" s="23"/>
      <c r="J16" s="23"/>
      <c r="K16" s="23"/>
      <c r="L16" s="23"/>
      <c r="M16" s="23"/>
      <c r="N16" s="23"/>
    </row>
    <row r="17" spans="1:14" ht="13.15">
      <c r="A17" s="73"/>
      <c r="B17" s="3"/>
      <c r="C17" s="170" t="str">
        <f>+Worksheet!C16</f>
        <v>Utility Income</v>
      </c>
      <c r="D17" s="171">
        <v>0.02</v>
      </c>
      <c r="E17" s="172">
        <f t="shared" ref="E17:N17" si="19">+D17</f>
        <v>0.02</v>
      </c>
      <c r="F17" s="172">
        <f t="shared" si="19"/>
        <v>0.02</v>
      </c>
      <c r="G17" s="172">
        <f t="shared" si="19"/>
        <v>0.02</v>
      </c>
      <c r="H17" s="172">
        <f t="shared" si="19"/>
        <v>0.02</v>
      </c>
      <c r="I17" s="172">
        <f t="shared" si="19"/>
        <v>0.02</v>
      </c>
      <c r="J17" s="172">
        <f t="shared" si="19"/>
        <v>0.02</v>
      </c>
      <c r="K17" s="172">
        <f t="shared" si="19"/>
        <v>0.02</v>
      </c>
      <c r="L17" s="172">
        <f t="shared" si="19"/>
        <v>0.02</v>
      </c>
      <c r="M17" s="172">
        <f t="shared" si="19"/>
        <v>0.02</v>
      </c>
      <c r="N17" s="172">
        <f t="shared" si="19"/>
        <v>0.02</v>
      </c>
    </row>
    <row r="18" spans="1:14" ht="13.15">
      <c r="A18" s="73"/>
      <c r="B18" s="3"/>
      <c r="C18" t="str">
        <f>+Worksheet!C17</f>
        <v>Parking Income</v>
      </c>
      <c r="D18" s="111">
        <v>0.02</v>
      </c>
      <c r="E18" s="23">
        <f t="shared" ref="E18:N18" si="20">+D18</f>
        <v>0.02</v>
      </c>
      <c r="F18" s="23">
        <f t="shared" si="20"/>
        <v>0.02</v>
      </c>
      <c r="G18" s="23">
        <f t="shared" si="20"/>
        <v>0.02</v>
      </c>
      <c r="H18" s="23">
        <f t="shared" si="20"/>
        <v>0.02</v>
      </c>
      <c r="I18" s="23">
        <f t="shared" si="20"/>
        <v>0.02</v>
      </c>
      <c r="J18" s="23">
        <f t="shared" si="20"/>
        <v>0.02</v>
      </c>
      <c r="K18" s="23">
        <f t="shared" si="20"/>
        <v>0.02</v>
      </c>
      <c r="L18" s="23">
        <f t="shared" si="20"/>
        <v>0.02</v>
      </c>
      <c r="M18" s="23">
        <f t="shared" si="20"/>
        <v>0.02</v>
      </c>
      <c r="N18" s="23">
        <f t="shared" si="20"/>
        <v>0.02</v>
      </c>
    </row>
    <row r="19" spans="1:14" ht="13.15">
      <c r="A19" s="73"/>
      <c r="B19" s="3"/>
      <c r="C19" t="str">
        <f>+Worksheet!C18</f>
        <v>Storage Income</v>
      </c>
      <c r="D19" s="111">
        <v>0.02</v>
      </c>
      <c r="E19" s="23">
        <f t="shared" ref="E19:E24" si="21">+D19</f>
        <v>0.02</v>
      </c>
      <c r="F19" s="23">
        <f t="shared" ref="F19:F24" si="22">+E19</f>
        <v>0.02</v>
      </c>
      <c r="G19" s="23">
        <f t="shared" ref="G19:G24" si="23">+F19</f>
        <v>0.02</v>
      </c>
      <c r="H19" s="23">
        <f t="shared" ref="H19:H24" si="24">+G19</f>
        <v>0.02</v>
      </c>
      <c r="I19" s="23">
        <f t="shared" ref="I19:I24" si="25">+H19</f>
        <v>0.02</v>
      </c>
      <c r="J19" s="23">
        <f t="shared" ref="J19:J24" si="26">+I19</f>
        <v>0.02</v>
      </c>
      <c r="K19" s="23">
        <f t="shared" ref="K19:K24" si="27">+J19</f>
        <v>0.02</v>
      </c>
      <c r="L19" s="23">
        <f t="shared" ref="L19:L24" si="28">+K19</f>
        <v>0.02</v>
      </c>
      <c r="M19" s="23">
        <f t="shared" ref="M19:M24" si="29">+L19</f>
        <v>0.02</v>
      </c>
      <c r="N19" s="23">
        <f t="shared" ref="N19:N24" si="30">+M19</f>
        <v>0.02</v>
      </c>
    </row>
    <row r="20" spans="1:14" ht="13.15">
      <c r="A20" s="73"/>
      <c r="B20" s="3"/>
      <c r="C20" t="str">
        <f>+Worksheet!C19</f>
        <v>Laundry &amp; Vending</v>
      </c>
      <c r="D20" s="111">
        <v>0.02</v>
      </c>
      <c r="E20" s="23">
        <f t="shared" si="21"/>
        <v>0.02</v>
      </c>
      <c r="F20" s="23">
        <f t="shared" si="22"/>
        <v>0.02</v>
      </c>
      <c r="G20" s="23">
        <f t="shared" si="23"/>
        <v>0.02</v>
      </c>
      <c r="H20" s="23">
        <f t="shared" si="24"/>
        <v>0.02</v>
      </c>
      <c r="I20" s="23">
        <f t="shared" si="25"/>
        <v>0.02</v>
      </c>
      <c r="J20" s="23">
        <f t="shared" si="26"/>
        <v>0.02</v>
      </c>
      <c r="K20" s="23">
        <f t="shared" si="27"/>
        <v>0.02</v>
      </c>
      <c r="L20" s="23">
        <f t="shared" si="28"/>
        <v>0.02</v>
      </c>
      <c r="M20" s="23">
        <f t="shared" si="29"/>
        <v>0.02</v>
      </c>
      <c r="N20" s="23">
        <f t="shared" si="30"/>
        <v>0.02</v>
      </c>
    </row>
    <row r="21" spans="1:14" ht="13.15">
      <c r="A21" s="73"/>
      <c r="B21" s="3"/>
      <c r="C21" t="str">
        <f>+Worksheet!C20</f>
        <v>Admin &amp; Other Fees</v>
      </c>
      <c r="D21" s="111">
        <v>0.02</v>
      </c>
      <c r="E21" s="23">
        <f t="shared" si="21"/>
        <v>0.02</v>
      </c>
      <c r="F21" s="23">
        <f t="shared" si="22"/>
        <v>0.02</v>
      </c>
      <c r="G21" s="23">
        <f t="shared" si="23"/>
        <v>0.02</v>
      </c>
      <c r="H21" s="23">
        <f t="shared" si="24"/>
        <v>0.02</v>
      </c>
      <c r="I21" s="23">
        <f t="shared" si="25"/>
        <v>0.02</v>
      </c>
      <c r="J21" s="23">
        <f t="shared" si="26"/>
        <v>0.02</v>
      </c>
      <c r="K21" s="23">
        <f t="shared" si="27"/>
        <v>0.02</v>
      </c>
      <c r="L21" s="23">
        <f t="shared" si="28"/>
        <v>0.02</v>
      </c>
      <c r="M21" s="23">
        <f t="shared" si="29"/>
        <v>0.02</v>
      </c>
      <c r="N21" s="23">
        <f t="shared" si="30"/>
        <v>0.02</v>
      </c>
    </row>
    <row r="22" spans="1:14" ht="13.15">
      <c r="A22" s="73"/>
      <c r="B22" s="3"/>
      <c r="C22" t="str">
        <f>+Worksheet!C21</f>
        <v>Damages &amp; Deposits</v>
      </c>
      <c r="D22" s="111">
        <v>0.02</v>
      </c>
      <c r="E22" s="23">
        <f t="shared" si="21"/>
        <v>0.02</v>
      </c>
      <c r="F22" s="23">
        <f t="shared" si="22"/>
        <v>0.02</v>
      </c>
      <c r="G22" s="23">
        <f t="shared" si="23"/>
        <v>0.02</v>
      </c>
      <c r="H22" s="23">
        <f t="shared" si="24"/>
        <v>0.02</v>
      </c>
      <c r="I22" s="23">
        <f t="shared" si="25"/>
        <v>0.02</v>
      </c>
      <c r="J22" s="23">
        <f t="shared" si="26"/>
        <v>0.02</v>
      </c>
      <c r="K22" s="23">
        <f t="shared" si="27"/>
        <v>0.02</v>
      </c>
      <c r="L22" s="23">
        <f t="shared" si="28"/>
        <v>0.02</v>
      </c>
      <c r="M22" s="23">
        <f t="shared" si="29"/>
        <v>0.02</v>
      </c>
      <c r="N22" s="23">
        <f t="shared" si="30"/>
        <v>0.02</v>
      </c>
    </row>
    <row r="23" spans="1:14" ht="13.15">
      <c r="A23" s="73"/>
      <c r="B23" s="3"/>
      <c r="C23" t="str">
        <f>+Worksheet!C22</f>
        <v>Pet Fees</v>
      </c>
      <c r="D23" s="111">
        <v>0.02</v>
      </c>
      <c r="E23" s="23">
        <f t="shared" si="21"/>
        <v>0.02</v>
      </c>
      <c r="F23" s="23">
        <f t="shared" si="22"/>
        <v>0.02</v>
      </c>
      <c r="G23" s="23">
        <f t="shared" si="23"/>
        <v>0.02</v>
      </c>
      <c r="H23" s="23">
        <f t="shared" si="24"/>
        <v>0.02</v>
      </c>
      <c r="I23" s="23">
        <f t="shared" si="25"/>
        <v>0.02</v>
      </c>
      <c r="J23" s="23">
        <f t="shared" si="26"/>
        <v>0.02</v>
      </c>
      <c r="K23" s="23">
        <f t="shared" si="27"/>
        <v>0.02</v>
      </c>
      <c r="L23" s="23">
        <f t="shared" si="28"/>
        <v>0.02</v>
      </c>
      <c r="M23" s="23">
        <f t="shared" si="29"/>
        <v>0.02</v>
      </c>
      <c r="N23" s="23">
        <f t="shared" si="30"/>
        <v>0.02</v>
      </c>
    </row>
    <row r="24" spans="1:14" ht="13.15">
      <c r="A24" s="73"/>
      <c r="B24" s="3"/>
      <c r="C24" t="str">
        <f>+Worksheet!C23</f>
        <v>Other Income 1</v>
      </c>
      <c r="D24" s="111">
        <v>0.02</v>
      </c>
      <c r="E24" s="23">
        <f t="shared" si="21"/>
        <v>0.02</v>
      </c>
      <c r="F24" s="23">
        <f t="shared" si="22"/>
        <v>0.02</v>
      </c>
      <c r="G24" s="23">
        <f t="shared" si="23"/>
        <v>0.02</v>
      </c>
      <c r="H24" s="23">
        <f t="shared" si="24"/>
        <v>0.02</v>
      </c>
      <c r="I24" s="23">
        <f t="shared" si="25"/>
        <v>0.02</v>
      </c>
      <c r="J24" s="23">
        <f t="shared" si="26"/>
        <v>0.02</v>
      </c>
      <c r="K24" s="23">
        <f t="shared" si="27"/>
        <v>0.02</v>
      </c>
      <c r="L24" s="23">
        <f t="shared" si="28"/>
        <v>0.02</v>
      </c>
      <c r="M24" s="23">
        <f t="shared" si="29"/>
        <v>0.02</v>
      </c>
      <c r="N24" s="23">
        <f t="shared" si="30"/>
        <v>0.02</v>
      </c>
    </row>
    <row r="25" spans="1:14" ht="13.15">
      <c r="A25" s="73"/>
      <c r="B25" s="3"/>
      <c r="C25" t="str">
        <f>+Worksheet!C24</f>
        <v>Other Income 2</v>
      </c>
      <c r="D25" s="111">
        <v>0.02</v>
      </c>
      <c r="E25" s="23">
        <f t="shared" ref="E25:E27" si="31">+D25</f>
        <v>0.02</v>
      </c>
      <c r="F25" s="23">
        <f t="shared" ref="F25:F27" si="32">+E25</f>
        <v>0.02</v>
      </c>
      <c r="G25" s="23">
        <f t="shared" ref="G25:G27" si="33">+F25</f>
        <v>0.02</v>
      </c>
      <c r="H25" s="23">
        <f t="shared" ref="H25:H27" si="34">+G25</f>
        <v>0.02</v>
      </c>
      <c r="I25" s="23">
        <f t="shared" ref="I25:I27" si="35">+H25</f>
        <v>0.02</v>
      </c>
      <c r="J25" s="23">
        <f t="shared" ref="J25:J27" si="36">+I25</f>
        <v>0.02</v>
      </c>
      <c r="K25" s="23">
        <f t="shared" ref="K25:K27" si="37">+J25</f>
        <v>0.02</v>
      </c>
      <c r="L25" s="23">
        <f t="shared" ref="L25:L27" si="38">+K25</f>
        <v>0.02</v>
      </c>
      <c r="M25" s="23">
        <f t="shared" ref="M25:M27" si="39">+L25</f>
        <v>0.02</v>
      </c>
      <c r="N25" s="23">
        <f t="shared" ref="N25:N27" si="40">+M25</f>
        <v>0.02</v>
      </c>
    </row>
    <row r="26" spans="1:14" ht="13.15">
      <c r="A26" s="73"/>
      <c r="B26" s="3"/>
      <c r="C26" t="str">
        <f>+Worksheet!C25</f>
        <v>Other Income 3</v>
      </c>
      <c r="D26" s="111">
        <v>0.02</v>
      </c>
      <c r="E26" s="23">
        <f t="shared" si="31"/>
        <v>0.02</v>
      </c>
      <c r="F26" s="23">
        <f t="shared" si="32"/>
        <v>0.02</v>
      </c>
      <c r="G26" s="23">
        <f t="shared" si="33"/>
        <v>0.02</v>
      </c>
      <c r="H26" s="23">
        <f t="shared" si="34"/>
        <v>0.02</v>
      </c>
      <c r="I26" s="23">
        <f t="shared" si="35"/>
        <v>0.02</v>
      </c>
      <c r="J26" s="23">
        <f t="shared" si="36"/>
        <v>0.02</v>
      </c>
      <c r="K26" s="23">
        <f t="shared" si="37"/>
        <v>0.02</v>
      </c>
      <c r="L26" s="23">
        <f t="shared" si="38"/>
        <v>0.02</v>
      </c>
      <c r="M26" s="23">
        <f t="shared" si="39"/>
        <v>0.02</v>
      </c>
      <c r="N26" s="23">
        <f t="shared" si="40"/>
        <v>0.02</v>
      </c>
    </row>
    <row r="27" spans="1:14" ht="13.5" thickBot="1">
      <c r="A27" s="73"/>
      <c r="B27" s="3"/>
      <c r="C27" s="160" t="str">
        <f>+Worksheet!C26</f>
        <v>Miscellaneous Income</v>
      </c>
      <c r="D27" s="166">
        <v>0.02</v>
      </c>
      <c r="E27" s="167">
        <f t="shared" si="31"/>
        <v>0.02</v>
      </c>
      <c r="F27" s="167">
        <f t="shared" si="32"/>
        <v>0.02</v>
      </c>
      <c r="G27" s="167">
        <f t="shared" si="33"/>
        <v>0.02</v>
      </c>
      <c r="H27" s="167">
        <f t="shared" si="34"/>
        <v>0.02</v>
      </c>
      <c r="I27" s="167">
        <f t="shared" si="35"/>
        <v>0.02</v>
      </c>
      <c r="J27" s="167">
        <f t="shared" si="36"/>
        <v>0.02</v>
      </c>
      <c r="K27" s="167">
        <f t="shared" si="37"/>
        <v>0.02</v>
      </c>
      <c r="L27" s="167">
        <f t="shared" si="38"/>
        <v>0.02</v>
      </c>
      <c r="M27" s="167">
        <f t="shared" si="39"/>
        <v>0.02</v>
      </c>
      <c r="N27" s="167">
        <f t="shared" si="40"/>
        <v>0.02</v>
      </c>
    </row>
    <row r="28" spans="1:14">
      <c r="A28" s="73"/>
      <c r="B28" s="3"/>
      <c r="D28" s="11"/>
      <c r="E28" s="40"/>
      <c r="F28" s="40"/>
      <c r="G28" s="40"/>
      <c r="H28" s="40"/>
      <c r="I28" s="40"/>
      <c r="J28" s="40"/>
      <c r="K28" s="40"/>
      <c r="L28" s="40"/>
      <c r="M28" s="40"/>
      <c r="N28" s="40"/>
    </row>
    <row r="29" spans="1:14" ht="15.4" thickBot="1">
      <c r="A29" s="73"/>
      <c r="B29" s="3"/>
      <c r="C29" s="7" t="str">
        <f>+Worksheet!C31</f>
        <v>Expenses</v>
      </c>
      <c r="D29" s="11"/>
      <c r="E29" s="40"/>
      <c r="F29" s="40"/>
      <c r="G29" s="40"/>
      <c r="H29" s="40"/>
      <c r="I29" s="40"/>
      <c r="J29" s="40"/>
      <c r="K29" s="40"/>
      <c r="L29" s="40"/>
      <c r="M29" s="40"/>
      <c r="N29" s="40"/>
    </row>
    <row r="30" spans="1:14" ht="13.15">
      <c r="A30" s="73"/>
      <c r="B30" s="3"/>
      <c r="C30" s="170" t="str">
        <f>+Worksheet!C32</f>
        <v>Utilities - General &amp; Other</v>
      </c>
      <c r="D30" s="171">
        <v>0.04</v>
      </c>
      <c r="E30" s="172">
        <f>+D30</f>
        <v>0.04</v>
      </c>
      <c r="F30" s="172">
        <f t="shared" ref="F30:N31" si="41">+E30</f>
        <v>0.04</v>
      </c>
      <c r="G30" s="172">
        <f t="shared" si="41"/>
        <v>0.04</v>
      </c>
      <c r="H30" s="172">
        <f t="shared" si="41"/>
        <v>0.04</v>
      </c>
      <c r="I30" s="172">
        <f t="shared" si="41"/>
        <v>0.04</v>
      </c>
      <c r="J30" s="172">
        <f t="shared" si="41"/>
        <v>0.04</v>
      </c>
      <c r="K30" s="172">
        <f t="shared" si="41"/>
        <v>0.04</v>
      </c>
      <c r="L30" s="172">
        <f t="shared" si="41"/>
        <v>0.04</v>
      </c>
      <c r="M30" s="172">
        <f t="shared" si="41"/>
        <v>0.04</v>
      </c>
      <c r="N30" s="172">
        <f t="shared" si="41"/>
        <v>0.04</v>
      </c>
    </row>
    <row r="31" spans="1:14" ht="13.15">
      <c r="A31" s="73"/>
      <c r="B31" s="3"/>
      <c r="C31" t="str">
        <f>+Worksheet!C33</f>
        <v>Utilities - Gas &amp; Electricity</v>
      </c>
      <c r="D31" s="111">
        <f>+D30</f>
        <v>0.04</v>
      </c>
      <c r="E31" s="23">
        <f>+D31</f>
        <v>0.04</v>
      </c>
      <c r="F31" s="23">
        <f t="shared" si="41"/>
        <v>0.04</v>
      </c>
      <c r="G31" s="23">
        <f t="shared" si="41"/>
        <v>0.04</v>
      </c>
      <c r="H31" s="23">
        <f t="shared" si="41"/>
        <v>0.04</v>
      </c>
      <c r="I31" s="23">
        <f t="shared" si="41"/>
        <v>0.04</v>
      </c>
      <c r="J31" s="23">
        <f t="shared" si="41"/>
        <v>0.04</v>
      </c>
      <c r="K31" s="23">
        <f t="shared" si="41"/>
        <v>0.04</v>
      </c>
      <c r="L31" s="23">
        <f t="shared" si="41"/>
        <v>0.04</v>
      </c>
      <c r="M31" s="23">
        <f t="shared" si="41"/>
        <v>0.04</v>
      </c>
      <c r="N31" s="23">
        <f t="shared" si="41"/>
        <v>0.04</v>
      </c>
    </row>
    <row r="32" spans="1:14" ht="13.15">
      <c r="A32" s="73"/>
      <c r="B32" s="3"/>
      <c r="C32" t="str">
        <f>+Worksheet!C34</f>
        <v>Utilities - Water &amp; Sewer</v>
      </c>
      <c r="D32" s="111">
        <f>+D31</f>
        <v>0.04</v>
      </c>
      <c r="E32" s="23">
        <f t="shared" ref="E32:N32" si="42">+D32</f>
        <v>0.04</v>
      </c>
      <c r="F32" s="23">
        <f t="shared" si="42"/>
        <v>0.04</v>
      </c>
      <c r="G32" s="23">
        <f t="shared" si="42"/>
        <v>0.04</v>
      </c>
      <c r="H32" s="23">
        <f t="shared" si="42"/>
        <v>0.04</v>
      </c>
      <c r="I32" s="23">
        <f t="shared" si="42"/>
        <v>0.04</v>
      </c>
      <c r="J32" s="23">
        <f t="shared" si="42"/>
        <v>0.04</v>
      </c>
      <c r="K32" s="23">
        <f t="shared" si="42"/>
        <v>0.04</v>
      </c>
      <c r="L32" s="23">
        <f t="shared" si="42"/>
        <v>0.04</v>
      </c>
      <c r="M32" s="23">
        <f t="shared" si="42"/>
        <v>0.04</v>
      </c>
      <c r="N32" s="23">
        <f t="shared" si="42"/>
        <v>0.04</v>
      </c>
    </row>
    <row r="33" spans="1:14" ht="13.15">
      <c r="A33" s="73"/>
      <c r="B33" s="3"/>
      <c r="C33" t="str">
        <f>+Worksheet!C35</f>
        <v>Trash</v>
      </c>
      <c r="D33" s="111">
        <f>+D32</f>
        <v>0.04</v>
      </c>
      <c r="E33" s="23">
        <f t="shared" ref="E33:N33" si="43">+D33</f>
        <v>0.04</v>
      </c>
      <c r="F33" s="23">
        <f t="shared" si="43"/>
        <v>0.04</v>
      </c>
      <c r="G33" s="23">
        <f t="shared" si="43"/>
        <v>0.04</v>
      </c>
      <c r="H33" s="23">
        <f t="shared" si="43"/>
        <v>0.04</v>
      </c>
      <c r="I33" s="23">
        <f t="shared" si="43"/>
        <v>0.04</v>
      </c>
      <c r="J33" s="23">
        <f t="shared" si="43"/>
        <v>0.04</v>
      </c>
      <c r="K33" s="23">
        <f t="shared" si="43"/>
        <v>0.04</v>
      </c>
      <c r="L33" s="23">
        <f t="shared" si="43"/>
        <v>0.04</v>
      </c>
      <c r="M33" s="23">
        <f t="shared" si="43"/>
        <v>0.04</v>
      </c>
      <c r="N33" s="23">
        <f t="shared" si="43"/>
        <v>0.04</v>
      </c>
    </row>
    <row r="34" spans="1:14" ht="13.15">
      <c r="A34" s="73"/>
      <c r="B34" s="3"/>
      <c r="C34" t="str">
        <f>+Worksheet!C36</f>
        <v>Repairs &amp; Maintenance</v>
      </c>
      <c r="D34" s="111">
        <v>0.03</v>
      </c>
      <c r="E34" s="23">
        <f t="shared" ref="E34:N34" si="44">+D34</f>
        <v>0.03</v>
      </c>
      <c r="F34" s="23">
        <f t="shared" si="44"/>
        <v>0.03</v>
      </c>
      <c r="G34" s="23">
        <f t="shared" si="44"/>
        <v>0.03</v>
      </c>
      <c r="H34" s="23">
        <f t="shared" si="44"/>
        <v>0.03</v>
      </c>
      <c r="I34" s="23">
        <f t="shared" si="44"/>
        <v>0.03</v>
      </c>
      <c r="J34" s="23">
        <f t="shared" si="44"/>
        <v>0.03</v>
      </c>
      <c r="K34" s="23">
        <f t="shared" si="44"/>
        <v>0.03</v>
      </c>
      <c r="L34" s="23">
        <f t="shared" si="44"/>
        <v>0.03</v>
      </c>
      <c r="M34" s="23">
        <f t="shared" si="44"/>
        <v>0.03</v>
      </c>
      <c r="N34" s="23">
        <f t="shared" si="44"/>
        <v>0.03</v>
      </c>
    </row>
    <row r="35" spans="1:14" ht="13.15">
      <c r="A35" s="73"/>
      <c r="B35" s="3"/>
      <c r="C35" t="str">
        <f>+Worksheet!C37</f>
        <v>Grounds &amp; Landscaping</v>
      </c>
      <c r="D35" s="111">
        <v>0.02</v>
      </c>
      <c r="E35" s="23">
        <f t="shared" ref="E35:N35" si="45">+D35</f>
        <v>0.02</v>
      </c>
      <c r="F35" s="23">
        <f t="shared" si="45"/>
        <v>0.02</v>
      </c>
      <c r="G35" s="23">
        <f t="shared" si="45"/>
        <v>0.02</v>
      </c>
      <c r="H35" s="23">
        <f t="shared" si="45"/>
        <v>0.02</v>
      </c>
      <c r="I35" s="23">
        <f t="shared" si="45"/>
        <v>0.02</v>
      </c>
      <c r="J35" s="23">
        <f t="shared" si="45"/>
        <v>0.02</v>
      </c>
      <c r="K35" s="23">
        <f t="shared" si="45"/>
        <v>0.02</v>
      </c>
      <c r="L35" s="23">
        <f t="shared" si="45"/>
        <v>0.02</v>
      </c>
      <c r="M35" s="23">
        <f t="shared" si="45"/>
        <v>0.02</v>
      </c>
      <c r="N35" s="23">
        <f t="shared" si="45"/>
        <v>0.02</v>
      </c>
    </row>
    <row r="36" spans="1:14" ht="13.15">
      <c r="A36" s="73"/>
      <c r="B36" s="3"/>
      <c r="C36" t="str">
        <f>+Worksheet!C38</f>
        <v>Security &amp; Fire</v>
      </c>
      <c r="D36" s="111">
        <v>0.02</v>
      </c>
      <c r="E36" s="23">
        <f t="shared" ref="E36:N36" si="46">+D36</f>
        <v>0.02</v>
      </c>
      <c r="F36" s="23">
        <f t="shared" si="46"/>
        <v>0.02</v>
      </c>
      <c r="G36" s="23">
        <f t="shared" si="46"/>
        <v>0.02</v>
      </c>
      <c r="H36" s="23">
        <f t="shared" si="46"/>
        <v>0.02</v>
      </c>
      <c r="I36" s="23">
        <f t="shared" si="46"/>
        <v>0.02</v>
      </c>
      <c r="J36" s="23">
        <f t="shared" si="46"/>
        <v>0.02</v>
      </c>
      <c r="K36" s="23">
        <f t="shared" si="46"/>
        <v>0.02</v>
      </c>
      <c r="L36" s="23">
        <f t="shared" si="46"/>
        <v>0.02</v>
      </c>
      <c r="M36" s="23">
        <f t="shared" si="46"/>
        <v>0.02</v>
      </c>
      <c r="N36" s="23">
        <f t="shared" si="46"/>
        <v>0.02</v>
      </c>
    </row>
    <row r="37" spans="1:14" ht="13.15">
      <c r="A37" s="73"/>
      <c r="B37" s="3"/>
      <c r="C37" t="str">
        <f>+Worksheet!C39</f>
        <v>Payroll</v>
      </c>
      <c r="D37" s="111">
        <v>0.03</v>
      </c>
      <c r="E37" s="23">
        <f t="shared" ref="E37:N37" si="47">+D37</f>
        <v>0.03</v>
      </c>
      <c r="F37" s="23">
        <f t="shared" si="47"/>
        <v>0.03</v>
      </c>
      <c r="G37" s="23">
        <f t="shared" si="47"/>
        <v>0.03</v>
      </c>
      <c r="H37" s="23">
        <f t="shared" si="47"/>
        <v>0.03</v>
      </c>
      <c r="I37" s="23">
        <f t="shared" si="47"/>
        <v>0.03</v>
      </c>
      <c r="J37" s="23">
        <f t="shared" si="47"/>
        <v>0.03</v>
      </c>
      <c r="K37" s="23">
        <f t="shared" si="47"/>
        <v>0.03</v>
      </c>
      <c r="L37" s="23">
        <f t="shared" si="47"/>
        <v>0.03</v>
      </c>
      <c r="M37" s="23">
        <f t="shared" si="47"/>
        <v>0.03</v>
      </c>
      <c r="N37" s="23">
        <f t="shared" si="47"/>
        <v>0.03</v>
      </c>
    </row>
    <row r="38" spans="1:14">
      <c r="A38" s="73"/>
      <c r="B38" s="3"/>
      <c r="C38" t="str">
        <f>+Worksheet!C40</f>
        <v>Management Fees</v>
      </c>
      <c r="D38" s="12"/>
      <c r="E38" s="42"/>
      <c r="F38" s="42"/>
      <c r="G38" s="42"/>
      <c r="H38" s="42"/>
      <c r="I38" s="42"/>
      <c r="J38" s="42"/>
      <c r="K38" s="42"/>
      <c r="L38" s="42"/>
      <c r="M38" s="42"/>
      <c r="N38" s="42"/>
    </row>
    <row r="39" spans="1:14" ht="13.15">
      <c r="A39" s="73"/>
      <c r="B39" s="3"/>
      <c r="C39" t="str">
        <f>+Worksheet!C41</f>
        <v>Administrative &amp; Office</v>
      </c>
      <c r="D39" s="111">
        <v>0.03</v>
      </c>
      <c r="E39" s="23">
        <f t="shared" ref="E39:N39" si="48">+D39</f>
        <v>0.03</v>
      </c>
      <c r="F39" s="23">
        <f t="shared" si="48"/>
        <v>0.03</v>
      </c>
      <c r="G39" s="23">
        <f t="shared" si="48"/>
        <v>0.03</v>
      </c>
      <c r="H39" s="23">
        <f t="shared" si="48"/>
        <v>0.03</v>
      </c>
      <c r="I39" s="23">
        <f t="shared" si="48"/>
        <v>0.03</v>
      </c>
      <c r="J39" s="23">
        <f t="shared" si="48"/>
        <v>0.03</v>
      </c>
      <c r="K39" s="23">
        <f t="shared" si="48"/>
        <v>0.03</v>
      </c>
      <c r="L39" s="23">
        <f t="shared" si="48"/>
        <v>0.03</v>
      </c>
      <c r="M39" s="23">
        <f t="shared" si="48"/>
        <v>0.03</v>
      </c>
      <c r="N39" s="23">
        <f t="shared" si="48"/>
        <v>0.03</v>
      </c>
    </row>
    <row r="40" spans="1:14" ht="13.15">
      <c r="A40" s="73"/>
      <c r="B40" s="3"/>
      <c r="C40" t="str">
        <f>+Worksheet!C42</f>
        <v>Marketing &amp; Leasing</v>
      </c>
      <c r="D40" s="111">
        <v>0.03</v>
      </c>
      <c r="E40" s="23">
        <f t="shared" ref="E40:N40" si="49">+D40</f>
        <v>0.03</v>
      </c>
      <c r="F40" s="23">
        <f t="shared" si="49"/>
        <v>0.03</v>
      </c>
      <c r="G40" s="23">
        <f t="shared" si="49"/>
        <v>0.03</v>
      </c>
      <c r="H40" s="23">
        <f t="shared" si="49"/>
        <v>0.03</v>
      </c>
      <c r="I40" s="23">
        <f t="shared" si="49"/>
        <v>0.03</v>
      </c>
      <c r="J40" s="23">
        <f t="shared" si="49"/>
        <v>0.03</v>
      </c>
      <c r="K40" s="23">
        <f t="shared" si="49"/>
        <v>0.03</v>
      </c>
      <c r="L40" s="23">
        <f t="shared" si="49"/>
        <v>0.03</v>
      </c>
      <c r="M40" s="23">
        <f t="shared" si="49"/>
        <v>0.03</v>
      </c>
      <c r="N40" s="23">
        <f t="shared" si="49"/>
        <v>0.03</v>
      </c>
    </row>
    <row r="41" spans="1:14" ht="13.15">
      <c r="A41" s="73"/>
      <c r="B41" s="3"/>
      <c r="C41" t="str">
        <f>+Worksheet!C43</f>
        <v>Property Tax</v>
      </c>
      <c r="D41" s="111">
        <v>0.03</v>
      </c>
      <c r="E41" s="23">
        <f>+Calculations!L37/Calculations!K37-1</f>
        <v>2.1019999999999817E-2</v>
      </c>
      <c r="F41" s="23">
        <f>+Calculations!M37/Calculations!L37-1</f>
        <v>2.1019999999999817E-2</v>
      </c>
      <c r="G41" s="23">
        <f>+Calculations!N37/Calculations!M37-1</f>
        <v>2.1019999999999817E-2</v>
      </c>
      <c r="H41" s="23">
        <f>+Calculations!O37/Calculations!N37-1</f>
        <v>2.1020000000000039E-2</v>
      </c>
      <c r="I41" s="23">
        <f>+Calculations!P37/Calculations!O37-1</f>
        <v>2.1019999999999817E-2</v>
      </c>
      <c r="J41" s="23">
        <f>+Calculations!Q37/Calculations!P37-1</f>
        <v>2.1019999999999817E-2</v>
      </c>
      <c r="K41" s="23">
        <f ca="1">+Calculations!R37/Calculations!Q37-1</f>
        <v>4.2795136934089317E-2</v>
      </c>
      <c r="L41" s="23">
        <f ca="1">+Calculations!S37/Calculations!R37-1</f>
        <v>2.1020000000000039E-2</v>
      </c>
      <c r="M41" s="23">
        <f ca="1">+Calculations!T37/Calculations!S37-1</f>
        <v>2.1019999999999817E-2</v>
      </c>
      <c r="N41" s="23">
        <f ca="1">+Calculations!U37/Calculations!T37-1</f>
        <v>2.1019999999999817E-2</v>
      </c>
    </row>
    <row r="42" spans="1:14" ht="13.15">
      <c r="A42" s="73"/>
      <c r="B42" s="3"/>
      <c r="C42" t="str">
        <f>+Worksheet!C44</f>
        <v>Insurance</v>
      </c>
      <c r="D42" s="111">
        <v>0.05</v>
      </c>
      <c r="E42" s="23">
        <f t="shared" ref="E42:N42" si="50">+D42</f>
        <v>0.05</v>
      </c>
      <c r="F42" s="23">
        <f t="shared" si="50"/>
        <v>0.05</v>
      </c>
      <c r="G42" s="23">
        <f t="shared" si="50"/>
        <v>0.05</v>
      </c>
      <c r="H42" s="23">
        <f t="shared" si="50"/>
        <v>0.05</v>
      </c>
      <c r="I42" s="23">
        <f t="shared" si="50"/>
        <v>0.05</v>
      </c>
      <c r="J42" s="23">
        <f t="shared" si="50"/>
        <v>0.05</v>
      </c>
      <c r="K42" s="23">
        <f t="shared" si="50"/>
        <v>0.05</v>
      </c>
      <c r="L42" s="23">
        <f t="shared" si="50"/>
        <v>0.05</v>
      </c>
      <c r="M42" s="23">
        <f t="shared" si="50"/>
        <v>0.05</v>
      </c>
      <c r="N42" s="23">
        <f t="shared" si="50"/>
        <v>0.05</v>
      </c>
    </row>
    <row r="43" spans="1:14" ht="13.15">
      <c r="A43" s="73"/>
      <c r="B43" s="3"/>
      <c r="C43" t="str">
        <f>+Worksheet!C45</f>
        <v>Contract Services</v>
      </c>
      <c r="D43" s="111">
        <v>0.03</v>
      </c>
      <c r="E43" s="23">
        <f t="shared" ref="E43:N43" si="51">+D43</f>
        <v>0.03</v>
      </c>
      <c r="F43" s="23">
        <f t="shared" si="51"/>
        <v>0.03</v>
      </c>
      <c r="G43" s="23">
        <f t="shared" si="51"/>
        <v>0.03</v>
      </c>
      <c r="H43" s="23">
        <f t="shared" si="51"/>
        <v>0.03</v>
      </c>
      <c r="I43" s="23">
        <f t="shared" si="51"/>
        <v>0.03</v>
      </c>
      <c r="J43" s="23">
        <f t="shared" si="51"/>
        <v>0.03</v>
      </c>
      <c r="K43" s="23">
        <f t="shared" si="51"/>
        <v>0.03</v>
      </c>
      <c r="L43" s="23">
        <f t="shared" si="51"/>
        <v>0.03</v>
      </c>
      <c r="M43" s="23">
        <f t="shared" si="51"/>
        <v>0.03</v>
      </c>
      <c r="N43" s="23">
        <f t="shared" si="51"/>
        <v>0.03</v>
      </c>
    </row>
    <row r="44" spans="1:14" ht="13.15">
      <c r="A44" s="73"/>
      <c r="B44" s="3"/>
      <c r="C44" t="str">
        <f>+Worksheet!C46</f>
        <v>Professional Services</v>
      </c>
      <c r="D44" s="111">
        <v>0.03</v>
      </c>
      <c r="E44" s="23">
        <f t="shared" ref="E44:N44" si="52">+D44</f>
        <v>0.03</v>
      </c>
      <c r="F44" s="23">
        <f t="shared" si="52"/>
        <v>0.03</v>
      </c>
      <c r="G44" s="23">
        <f t="shared" si="52"/>
        <v>0.03</v>
      </c>
      <c r="H44" s="23">
        <f t="shared" si="52"/>
        <v>0.03</v>
      </c>
      <c r="I44" s="23">
        <f t="shared" si="52"/>
        <v>0.03</v>
      </c>
      <c r="J44" s="23">
        <f t="shared" si="52"/>
        <v>0.03</v>
      </c>
      <c r="K44" s="23">
        <f t="shared" si="52"/>
        <v>0.03</v>
      </c>
      <c r="L44" s="23">
        <f t="shared" si="52"/>
        <v>0.03</v>
      </c>
      <c r="M44" s="23">
        <f t="shared" si="52"/>
        <v>0.03</v>
      </c>
      <c r="N44" s="23">
        <f t="shared" si="52"/>
        <v>0.03</v>
      </c>
    </row>
    <row r="45" spans="1:14" ht="13.15">
      <c r="A45" s="73"/>
      <c r="B45" s="3"/>
      <c r="C45" t="str">
        <f>+Worksheet!C47</f>
        <v>Other Expense 1</v>
      </c>
      <c r="D45" s="111">
        <v>0.03</v>
      </c>
      <c r="E45" s="23">
        <f t="shared" ref="E45:N45" si="53">+D45</f>
        <v>0.03</v>
      </c>
      <c r="F45" s="23">
        <f t="shared" si="53"/>
        <v>0.03</v>
      </c>
      <c r="G45" s="23">
        <f t="shared" si="53"/>
        <v>0.03</v>
      </c>
      <c r="H45" s="23">
        <f t="shared" si="53"/>
        <v>0.03</v>
      </c>
      <c r="I45" s="23">
        <f t="shared" si="53"/>
        <v>0.03</v>
      </c>
      <c r="J45" s="23">
        <f t="shared" si="53"/>
        <v>0.03</v>
      </c>
      <c r="K45" s="23">
        <f t="shared" si="53"/>
        <v>0.03</v>
      </c>
      <c r="L45" s="23">
        <f t="shared" si="53"/>
        <v>0.03</v>
      </c>
      <c r="M45" s="23">
        <f t="shared" si="53"/>
        <v>0.03</v>
      </c>
      <c r="N45" s="23">
        <f t="shared" si="53"/>
        <v>0.03</v>
      </c>
    </row>
    <row r="46" spans="1:14" ht="13.15">
      <c r="A46" s="73"/>
      <c r="B46" s="3"/>
      <c r="C46" t="str">
        <f>+Worksheet!C48</f>
        <v>Other Expense 2</v>
      </c>
      <c r="D46" s="111">
        <v>0.03</v>
      </c>
      <c r="E46" s="23">
        <f t="shared" ref="E46:N46" si="54">+D46</f>
        <v>0.03</v>
      </c>
      <c r="F46" s="23">
        <f t="shared" si="54"/>
        <v>0.03</v>
      </c>
      <c r="G46" s="23">
        <f t="shared" si="54"/>
        <v>0.03</v>
      </c>
      <c r="H46" s="23">
        <f t="shared" si="54"/>
        <v>0.03</v>
      </c>
      <c r="I46" s="23">
        <f t="shared" si="54"/>
        <v>0.03</v>
      </c>
      <c r="J46" s="23">
        <f t="shared" si="54"/>
        <v>0.03</v>
      </c>
      <c r="K46" s="23">
        <f t="shared" si="54"/>
        <v>0.03</v>
      </c>
      <c r="L46" s="23">
        <f t="shared" si="54"/>
        <v>0.03</v>
      </c>
      <c r="M46" s="23">
        <f t="shared" si="54"/>
        <v>0.03</v>
      </c>
      <c r="N46" s="23">
        <f t="shared" si="54"/>
        <v>0.03</v>
      </c>
    </row>
    <row r="47" spans="1:14" ht="13.15">
      <c r="A47" s="73"/>
      <c r="B47" s="3"/>
      <c r="C47" t="str">
        <f>+Worksheet!C49</f>
        <v>Other Expense 3</v>
      </c>
      <c r="D47" s="111">
        <v>0.03</v>
      </c>
      <c r="E47" s="23">
        <f t="shared" ref="E47:N47" si="55">+D47</f>
        <v>0.03</v>
      </c>
      <c r="F47" s="23">
        <f t="shared" si="55"/>
        <v>0.03</v>
      </c>
      <c r="G47" s="23">
        <f t="shared" si="55"/>
        <v>0.03</v>
      </c>
      <c r="H47" s="23">
        <f t="shared" si="55"/>
        <v>0.03</v>
      </c>
      <c r="I47" s="23">
        <f t="shared" si="55"/>
        <v>0.03</v>
      </c>
      <c r="J47" s="23">
        <f t="shared" si="55"/>
        <v>0.03</v>
      </c>
      <c r="K47" s="23">
        <f t="shared" si="55"/>
        <v>0.03</v>
      </c>
      <c r="L47" s="23">
        <f t="shared" si="55"/>
        <v>0.03</v>
      </c>
      <c r="M47" s="23">
        <f t="shared" si="55"/>
        <v>0.03</v>
      </c>
      <c r="N47" s="23">
        <f t="shared" si="55"/>
        <v>0.03</v>
      </c>
    </row>
    <row r="48" spans="1:14" ht="13.5" thickBot="1">
      <c r="A48" s="73"/>
      <c r="B48" s="3"/>
      <c r="C48" s="160" t="str">
        <f>+Worksheet!C50</f>
        <v>Replacement Reserves</v>
      </c>
      <c r="D48" s="166">
        <v>0.03</v>
      </c>
      <c r="E48" s="167">
        <f t="shared" ref="E48:N48" si="56">+D48</f>
        <v>0.03</v>
      </c>
      <c r="F48" s="167">
        <f t="shared" si="56"/>
        <v>0.03</v>
      </c>
      <c r="G48" s="167">
        <f t="shared" si="56"/>
        <v>0.03</v>
      </c>
      <c r="H48" s="167">
        <f t="shared" si="56"/>
        <v>0.03</v>
      </c>
      <c r="I48" s="167">
        <f t="shared" si="56"/>
        <v>0.03</v>
      </c>
      <c r="J48" s="167">
        <f t="shared" si="56"/>
        <v>0.03</v>
      </c>
      <c r="K48" s="167">
        <f t="shared" si="56"/>
        <v>0.03</v>
      </c>
      <c r="L48" s="167">
        <f t="shared" si="56"/>
        <v>0.03</v>
      </c>
      <c r="M48" s="167">
        <f t="shared" si="56"/>
        <v>0.03</v>
      </c>
      <c r="N48" s="167">
        <f t="shared" si="56"/>
        <v>0.03</v>
      </c>
    </row>
    <row r="49" spans="1:14" ht="13.15">
      <c r="A49" s="73"/>
      <c r="B49" s="3"/>
      <c r="D49" s="111"/>
      <c r="E49" s="23"/>
      <c r="F49" s="23"/>
      <c r="G49" s="23"/>
      <c r="H49" s="23"/>
      <c r="I49" s="23"/>
      <c r="J49" s="23"/>
      <c r="K49" s="23"/>
      <c r="L49" s="23"/>
      <c r="M49" s="23"/>
      <c r="N49" s="23"/>
    </row>
    <row r="50" spans="1:14" ht="30">
      <c r="A50" s="74" t="str">
        <f ca="1">MID(CELL("filename",A50),FIND("]",CELL("filename",A50))+1,255)</f>
        <v>Cashflow</v>
      </c>
      <c r="B50" s="73"/>
      <c r="C50" s="73"/>
      <c r="D50" s="193"/>
      <c r="E50" s="194"/>
      <c r="F50" s="194"/>
      <c r="G50" s="194"/>
      <c r="H50" s="194"/>
      <c r="I50" s="194"/>
      <c r="J50" s="194"/>
      <c r="K50" s="194"/>
      <c r="L50" s="194"/>
      <c r="M50" s="194"/>
      <c r="N50" s="194"/>
    </row>
    <row r="51" spans="1:14" ht="15.4" thickBot="1">
      <c r="A51" s="73"/>
      <c r="B51" s="3"/>
      <c r="C51" s="7" t="s">
        <v>37</v>
      </c>
      <c r="D51" s="190"/>
      <c r="E51" s="26"/>
      <c r="F51" s="26"/>
      <c r="G51" s="26"/>
      <c r="H51" s="26"/>
      <c r="I51" s="26"/>
      <c r="J51" s="26"/>
      <c r="K51" s="26"/>
      <c r="L51" s="26"/>
      <c r="M51" s="26"/>
      <c r="N51" s="26"/>
    </row>
    <row r="52" spans="1:14">
      <c r="A52" s="73"/>
      <c r="B52" s="3"/>
      <c r="C52" s="170" t="str">
        <f>+Worksheet!C5</f>
        <v>Market Rent</v>
      </c>
      <c r="D52" s="180">
        <f>+VLOOKUP($C52,Worksheet!$C:$L,COLUMN(Worksheet!$G:$G)-2,0)</f>
        <v>379440</v>
      </c>
      <c r="E52" s="180">
        <f t="shared" ref="E52:N52" si="57">+D52*(1+VLOOKUP($C52,$C$7:$N$48,E$3,0))</f>
        <v>387028.8</v>
      </c>
      <c r="F52" s="180">
        <f t="shared" si="57"/>
        <v>394769.37599999999</v>
      </c>
      <c r="G52" s="180">
        <f t="shared" si="57"/>
        <v>402664.76351999998</v>
      </c>
      <c r="H52" s="180">
        <f t="shared" si="57"/>
        <v>410718.05879039998</v>
      </c>
      <c r="I52" s="180">
        <f t="shared" si="57"/>
        <v>418932.41996620799</v>
      </c>
      <c r="J52" s="180">
        <f t="shared" si="57"/>
        <v>427311.06836553215</v>
      </c>
      <c r="K52" s="180">
        <f t="shared" si="57"/>
        <v>435857.28973284282</v>
      </c>
      <c r="L52" s="180">
        <f t="shared" si="57"/>
        <v>444574.43552749971</v>
      </c>
      <c r="M52" s="180">
        <f t="shared" si="57"/>
        <v>453465.92423804972</v>
      </c>
      <c r="N52" s="180">
        <f t="shared" si="57"/>
        <v>462535.24272281071</v>
      </c>
    </row>
    <row r="53" spans="1:14">
      <c r="A53" s="73"/>
      <c r="B53" s="3"/>
      <c r="C53" s="56" t="str">
        <f>+Worksheet!C6</f>
        <v>Rent Premium</v>
      </c>
      <c r="D53" s="183">
        <f>+VLOOKUP($C53,Worksheet!$C:$L,COLUMN(Worksheet!$G:$G)-2,0)</f>
        <v>30300</v>
      </c>
      <c r="E53" s="183">
        <f>+Rehab!H36</f>
        <v>61812</v>
      </c>
      <c r="F53" s="183">
        <f>+Rehab!I36</f>
        <v>63048.240000000005</v>
      </c>
      <c r="G53" s="183">
        <f>+Rehab!J36</f>
        <v>64309.204800000014</v>
      </c>
      <c r="H53" s="183">
        <f t="shared" ref="H53:N53" si="58">+G53*(1+VLOOKUP($C53,$C$7:$N$48,H$3,0))</f>
        <v>65595.388896000019</v>
      </c>
      <c r="I53" s="183">
        <f t="shared" si="58"/>
        <v>66907.29667392002</v>
      </c>
      <c r="J53" s="183">
        <f t="shared" si="58"/>
        <v>68245.442607398421</v>
      </c>
      <c r="K53" s="183">
        <f t="shared" si="58"/>
        <v>69610.351459546393</v>
      </c>
      <c r="L53" s="183">
        <f t="shared" si="58"/>
        <v>71002.558488737326</v>
      </c>
      <c r="M53" s="183">
        <f t="shared" si="58"/>
        <v>72422.609658512069</v>
      </c>
      <c r="N53" s="183">
        <f t="shared" si="58"/>
        <v>73871.061851682316</v>
      </c>
    </row>
    <row r="54" spans="1:14" ht="13.15" thickBot="1">
      <c r="A54" s="73"/>
      <c r="B54" s="3"/>
      <c r="C54" s="56" t="str">
        <f>+Worksheet!C7</f>
        <v>Gain (Loss) to Lease</v>
      </c>
      <c r="D54" s="183">
        <f>+VLOOKUP($C54,Worksheet!$C:$L,COLUMN(Worksheet!$G:$G)-2,0)</f>
        <v>-18870</v>
      </c>
      <c r="E54" s="183">
        <f>-(SUM(E52:E53)-SUM(D52:D53))*50%</f>
        <v>-19550.399999999994</v>
      </c>
      <c r="F54" s="183">
        <f t="shared" ref="F54:N54" si="59">-(SUM(F52:F53)-SUM(E52:E53))*50%</f>
        <v>-4488.4079999999958</v>
      </c>
      <c r="G54" s="183">
        <f t="shared" si="59"/>
        <v>-4578.1761600000027</v>
      </c>
      <c r="H54" s="183">
        <f t="shared" si="59"/>
        <v>-4669.7396832000231</v>
      </c>
      <c r="I54" s="183">
        <f t="shared" si="59"/>
        <v>-4763.1344768639829</v>
      </c>
      <c r="J54" s="183">
        <f t="shared" si="59"/>
        <v>-4858.3971664012934</v>
      </c>
      <c r="K54" s="183">
        <f t="shared" si="59"/>
        <v>-4955.5651097293012</v>
      </c>
      <c r="L54" s="183">
        <f t="shared" si="59"/>
        <v>-5054.6764119239233</v>
      </c>
      <c r="M54" s="183">
        <f t="shared" si="59"/>
        <v>-5155.7699401623977</v>
      </c>
      <c r="N54" s="183">
        <f t="shared" si="59"/>
        <v>-5258.8853389656288</v>
      </c>
    </row>
    <row r="55" spans="1:14" s="1" customFormat="1" ht="13.15">
      <c r="A55" s="179"/>
      <c r="B55" s="181"/>
      <c r="C55" s="176" t="str">
        <f>+Worksheet!C8</f>
        <v>Gross Potential Rent</v>
      </c>
      <c r="D55" s="177">
        <f t="shared" ref="D55:N55" si="60">+SUM(D52:D54)</f>
        <v>390870</v>
      </c>
      <c r="E55" s="177">
        <f t="shared" si="60"/>
        <v>429290.4</v>
      </c>
      <c r="F55" s="177">
        <f t="shared" si="60"/>
        <v>453329.20799999998</v>
      </c>
      <c r="G55" s="177">
        <f t="shared" si="60"/>
        <v>462395.79215999995</v>
      </c>
      <c r="H55" s="177">
        <f t="shared" si="60"/>
        <v>471643.70800320001</v>
      </c>
      <c r="I55" s="177">
        <f t="shared" si="60"/>
        <v>481076.58216326404</v>
      </c>
      <c r="J55" s="177">
        <f t="shared" si="60"/>
        <v>490698.11380652932</v>
      </c>
      <c r="K55" s="177">
        <f t="shared" si="60"/>
        <v>500512.07608265989</v>
      </c>
      <c r="L55" s="177">
        <f t="shared" si="60"/>
        <v>510522.31760431314</v>
      </c>
      <c r="M55" s="177">
        <f t="shared" si="60"/>
        <v>520732.7639563994</v>
      </c>
      <c r="N55" s="177">
        <f t="shared" si="60"/>
        <v>531147.41923552752</v>
      </c>
    </row>
    <row r="56" spans="1:14">
      <c r="A56" s="73"/>
      <c r="B56" s="3"/>
      <c r="C56" s="56"/>
      <c r="D56" s="183"/>
      <c r="E56" s="183"/>
      <c r="F56" s="183"/>
      <c r="G56" s="183"/>
      <c r="H56" s="183"/>
      <c r="I56" s="183"/>
      <c r="J56" s="183"/>
      <c r="K56" s="183"/>
      <c r="L56" s="183"/>
      <c r="M56" s="183"/>
      <c r="N56" s="183"/>
    </row>
    <row r="57" spans="1:14">
      <c r="A57" s="73"/>
      <c r="B57" s="3"/>
      <c r="C57" s="56" t="str">
        <f>+Worksheet!C10</f>
        <v>Vacancy</v>
      </c>
      <c r="D57" s="183">
        <f>+VLOOKUP($C57,Worksheet!$C:$L,COLUMN(Worksheet!$G:$G)-2,0)</f>
        <v>-19543.5</v>
      </c>
      <c r="E57" s="183">
        <f>-E$55*VLOOKUP($C57,$C$7:$N$48,E$3,0)</f>
        <v>-21464.520000000004</v>
      </c>
      <c r="F57" s="183">
        <f t="shared" ref="F57:N60" si="61">-F$55*VLOOKUP($C57,$C$7:$N$48,F$3,0)</f>
        <v>-22666.4604</v>
      </c>
      <c r="G57" s="183">
        <f t="shared" si="61"/>
        <v>-23119.789607999999</v>
      </c>
      <c r="H57" s="183">
        <f t="shared" si="61"/>
        <v>-23582.18540016</v>
      </c>
      <c r="I57" s="183">
        <f t="shared" si="61"/>
        <v>-24053.829108163205</v>
      </c>
      <c r="J57" s="183">
        <f t="shared" si="61"/>
        <v>-24534.905690326468</v>
      </c>
      <c r="K57" s="183">
        <f t="shared" si="61"/>
        <v>-25025.603804132996</v>
      </c>
      <c r="L57" s="183">
        <f t="shared" si="61"/>
        <v>-25526.115880215657</v>
      </c>
      <c r="M57" s="183">
        <f t="shared" si="61"/>
        <v>-26036.638197819972</v>
      </c>
      <c r="N57" s="183">
        <f t="shared" si="61"/>
        <v>-26557.370961776378</v>
      </c>
    </row>
    <row r="58" spans="1:14">
      <c r="A58" s="73"/>
      <c r="B58" s="3"/>
      <c r="C58" s="56" t="str">
        <f>+Worksheet!C11</f>
        <v>Concessions</v>
      </c>
      <c r="D58" s="183">
        <f>+VLOOKUP($C58,Worksheet!$C:$L,COLUMN(Worksheet!$G:$G)-2,0)</f>
        <v>-2784.94875</v>
      </c>
      <c r="E58" s="183">
        <f t="shared" ref="E58:E60" si="62">-E$55*VLOOKUP($C58,$C$7:$N$48,E$3,0)</f>
        <v>-3219.6779999999999</v>
      </c>
      <c r="F58" s="183">
        <f t="shared" si="61"/>
        <v>-3399.9690599999999</v>
      </c>
      <c r="G58" s="183">
        <f t="shared" si="61"/>
        <v>-3467.9684411999997</v>
      </c>
      <c r="H58" s="183">
        <f t="shared" si="61"/>
        <v>-3537.327810024</v>
      </c>
      <c r="I58" s="183">
        <f t="shared" si="61"/>
        <v>-3608.0743662244804</v>
      </c>
      <c r="J58" s="183">
        <f t="shared" si="61"/>
        <v>-3680.2358535489698</v>
      </c>
      <c r="K58" s="183">
        <f t="shared" si="61"/>
        <v>-3753.8405706199492</v>
      </c>
      <c r="L58" s="183">
        <f t="shared" si="61"/>
        <v>-3828.9173820323485</v>
      </c>
      <c r="M58" s="183">
        <f t="shared" si="61"/>
        <v>-3905.4957296729954</v>
      </c>
      <c r="N58" s="183">
        <f t="shared" si="61"/>
        <v>-3983.6056442664562</v>
      </c>
    </row>
    <row r="59" spans="1:14">
      <c r="A59" s="73"/>
      <c r="B59" s="3"/>
      <c r="C59" s="56" t="str">
        <f>+Worksheet!C12</f>
        <v>Bad Debt</v>
      </c>
      <c r="D59" s="183">
        <f>+VLOOKUP($C59,Worksheet!$C:$L,COLUMN(Worksheet!$G:$G)-2,0)</f>
        <v>-1856.6324999999999</v>
      </c>
      <c r="E59" s="183">
        <f t="shared" si="62"/>
        <v>-2146.4520000000002</v>
      </c>
      <c r="F59" s="183">
        <f t="shared" si="61"/>
        <v>-2266.6460400000001</v>
      </c>
      <c r="G59" s="183">
        <f t="shared" si="61"/>
        <v>-2311.9789607999996</v>
      </c>
      <c r="H59" s="183">
        <f t="shared" si="61"/>
        <v>-2358.2185400160001</v>
      </c>
      <c r="I59" s="183">
        <f t="shared" si="61"/>
        <v>-2405.3829108163204</v>
      </c>
      <c r="J59" s="183">
        <f t="shared" si="61"/>
        <v>-2453.4905690326468</v>
      </c>
      <c r="K59" s="183">
        <f t="shared" si="61"/>
        <v>-2502.5603804132993</v>
      </c>
      <c r="L59" s="183">
        <f t="shared" si="61"/>
        <v>-2552.6115880215657</v>
      </c>
      <c r="M59" s="183">
        <f t="shared" si="61"/>
        <v>-2603.6638197819971</v>
      </c>
      <c r="N59" s="183">
        <f t="shared" si="61"/>
        <v>-2655.7370961776378</v>
      </c>
    </row>
    <row r="60" spans="1:14" ht="13.15" thickBot="1">
      <c r="A60" s="73"/>
      <c r="B60" s="3"/>
      <c r="C60" s="56" t="str">
        <f>+Worksheet!C13</f>
        <v>Non Revenue Units</v>
      </c>
      <c r="D60" s="183">
        <f>+VLOOKUP($C60,Worksheet!$C:$L,COLUMN(Worksheet!$G:$G)-2,0)</f>
        <v>0</v>
      </c>
      <c r="E60" s="183">
        <f t="shared" si="62"/>
        <v>0</v>
      </c>
      <c r="F60" s="183">
        <f t="shared" si="61"/>
        <v>0</v>
      </c>
      <c r="G60" s="183">
        <f t="shared" si="61"/>
        <v>0</v>
      </c>
      <c r="H60" s="183">
        <f t="shared" si="61"/>
        <v>0</v>
      </c>
      <c r="I60" s="183">
        <f t="shared" si="61"/>
        <v>0</v>
      </c>
      <c r="J60" s="183">
        <f t="shared" si="61"/>
        <v>0</v>
      </c>
      <c r="K60" s="183">
        <f t="shared" si="61"/>
        <v>0</v>
      </c>
      <c r="L60" s="183">
        <f t="shared" si="61"/>
        <v>0</v>
      </c>
      <c r="M60" s="183">
        <f t="shared" si="61"/>
        <v>0</v>
      </c>
      <c r="N60" s="183">
        <f t="shared" si="61"/>
        <v>0</v>
      </c>
    </row>
    <row r="61" spans="1:14" s="1" customFormat="1" ht="13.15">
      <c r="A61" s="179"/>
      <c r="B61" s="181"/>
      <c r="C61" s="176" t="str">
        <f>+Worksheet!C14</f>
        <v>Net Rental Income</v>
      </c>
      <c r="D61" s="177">
        <f>+SUM(D55:D60)</f>
        <v>366684.91875000001</v>
      </c>
      <c r="E61" s="177">
        <f t="shared" ref="E61:N61" si="63">+SUM(E55:E60)</f>
        <v>402459.75</v>
      </c>
      <c r="F61" s="177">
        <f t="shared" si="63"/>
        <v>424996.13250000001</v>
      </c>
      <c r="G61" s="177">
        <f t="shared" si="63"/>
        <v>433496.05514999997</v>
      </c>
      <c r="H61" s="177">
        <f t="shared" si="63"/>
        <v>442165.97625299997</v>
      </c>
      <c r="I61" s="177">
        <f t="shared" si="63"/>
        <v>451009.29577806004</v>
      </c>
      <c r="J61" s="177">
        <f t="shared" si="63"/>
        <v>460029.4816936212</v>
      </c>
      <c r="K61" s="177">
        <f t="shared" si="63"/>
        <v>469230.07132749358</v>
      </c>
      <c r="L61" s="177">
        <f t="shared" si="63"/>
        <v>478614.67275404354</v>
      </c>
      <c r="M61" s="177">
        <f t="shared" si="63"/>
        <v>488186.96620912442</v>
      </c>
      <c r="N61" s="177">
        <f t="shared" si="63"/>
        <v>497950.70553330705</v>
      </c>
    </row>
    <row r="62" spans="1:14">
      <c r="A62" s="73"/>
      <c r="B62" s="3"/>
      <c r="C62" s="56"/>
      <c r="D62" s="185"/>
      <c r="E62" s="185"/>
      <c r="F62" s="185"/>
      <c r="G62" s="185"/>
      <c r="H62" s="185"/>
      <c r="I62" s="185"/>
      <c r="J62" s="185"/>
      <c r="K62" s="185"/>
      <c r="L62" s="185"/>
      <c r="M62" s="185"/>
      <c r="N62" s="185"/>
    </row>
    <row r="63" spans="1:14">
      <c r="A63" s="73"/>
      <c r="B63" s="3"/>
      <c r="C63" s="56" t="str">
        <f>+Worksheet!C16</f>
        <v>Utility Income</v>
      </c>
      <c r="D63" s="183">
        <f>+VLOOKUP($C63,Worksheet!$C:$L,COLUMN(Worksheet!$G:$G)-2,0)</f>
        <v>0</v>
      </c>
      <c r="E63" s="183">
        <f t="shared" ref="E63:N63" si="64">+D63*(1+VLOOKUP($C63,$C$7:$N$48,E$3,0))</f>
        <v>0</v>
      </c>
      <c r="F63" s="185">
        <f t="shared" si="64"/>
        <v>0</v>
      </c>
      <c r="G63" s="185">
        <f t="shared" si="64"/>
        <v>0</v>
      </c>
      <c r="H63" s="185">
        <f t="shared" si="64"/>
        <v>0</v>
      </c>
      <c r="I63" s="185">
        <f t="shared" si="64"/>
        <v>0</v>
      </c>
      <c r="J63" s="185">
        <f t="shared" si="64"/>
        <v>0</v>
      </c>
      <c r="K63" s="185">
        <f t="shared" si="64"/>
        <v>0</v>
      </c>
      <c r="L63" s="185">
        <f t="shared" si="64"/>
        <v>0</v>
      </c>
      <c r="M63" s="185">
        <f t="shared" si="64"/>
        <v>0</v>
      </c>
      <c r="N63" s="185">
        <f t="shared" si="64"/>
        <v>0</v>
      </c>
    </row>
    <row r="64" spans="1:14">
      <c r="A64" s="73"/>
      <c r="B64" s="3"/>
      <c r="C64" s="56" t="str">
        <f>+Worksheet!C17</f>
        <v>Parking Income</v>
      </c>
      <c r="D64" s="183">
        <f>+VLOOKUP($C64,Worksheet!$C:$L,COLUMN(Worksheet!$G:$G)-2,0)</f>
        <v>0</v>
      </c>
      <c r="E64" s="185">
        <f t="shared" ref="E64:N64" si="65">+D64*(1+VLOOKUP($C64,$C$7:$N$48,E$3,0))</f>
        <v>0</v>
      </c>
      <c r="F64" s="185">
        <f t="shared" si="65"/>
        <v>0</v>
      </c>
      <c r="G64" s="185">
        <f t="shared" si="65"/>
        <v>0</v>
      </c>
      <c r="H64" s="185">
        <f t="shared" si="65"/>
        <v>0</v>
      </c>
      <c r="I64" s="185">
        <f t="shared" si="65"/>
        <v>0</v>
      </c>
      <c r="J64" s="185">
        <f t="shared" si="65"/>
        <v>0</v>
      </c>
      <c r="K64" s="185">
        <f t="shared" si="65"/>
        <v>0</v>
      </c>
      <c r="L64" s="185">
        <f t="shared" si="65"/>
        <v>0</v>
      </c>
      <c r="M64" s="185">
        <f t="shared" si="65"/>
        <v>0</v>
      </c>
      <c r="N64" s="185">
        <f t="shared" si="65"/>
        <v>0</v>
      </c>
    </row>
    <row r="65" spans="1:14">
      <c r="A65" s="73"/>
      <c r="B65" s="3"/>
      <c r="C65" s="56" t="str">
        <f>+Worksheet!C18</f>
        <v>Storage Income</v>
      </c>
      <c r="D65" s="183">
        <f>+VLOOKUP($C65,Worksheet!$C:$L,COLUMN(Worksheet!$G:$G)-2,0)</f>
        <v>0</v>
      </c>
      <c r="E65" s="185">
        <f t="shared" ref="E65:N65" si="66">+D65*(1+VLOOKUP($C65,$C$7:$N$48,E$3,0))</f>
        <v>0</v>
      </c>
      <c r="F65" s="185">
        <f t="shared" si="66"/>
        <v>0</v>
      </c>
      <c r="G65" s="185">
        <f t="shared" si="66"/>
        <v>0</v>
      </c>
      <c r="H65" s="185">
        <f t="shared" si="66"/>
        <v>0</v>
      </c>
      <c r="I65" s="185">
        <f t="shared" si="66"/>
        <v>0</v>
      </c>
      <c r="J65" s="185">
        <f t="shared" si="66"/>
        <v>0</v>
      </c>
      <c r="K65" s="185">
        <f t="shared" si="66"/>
        <v>0</v>
      </c>
      <c r="L65" s="185">
        <f t="shared" si="66"/>
        <v>0</v>
      </c>
      <c r="M65" s="185">
        <f t="shared" si="66"/>
        <v>0</v>
      </c>
      <c r="N65" s="185">
        <f t="shared" si="66"/>
        <v>0</v>
      </c>
    </row>
    <row r="66" spans="1:14">
      <c r="A66" s="73"/>
      <c r="B66" s="3"/>
      <c r="C66" s="56" t="str">
        <f>+Worksheet!C19</f>
        <v>Laundry &amp; Vending</v>
      </c>
      <c r="D66" s="183">
        <f>+VLOOKUP($C66,Worksheet!$C:$L,COLUMN(Worksheet!$G:$G)-2,0)</f>
        <v>0</v>
      </c>
      <c r="E66" s="185">
        <f t="shared" ref="E66:N66" si="67">+D66*(1+VLOOKUP($C66,$C$7:$N$48,E$3,0))</f>
        <v>0</v>
      </c>
      <c r="F66" s="185">
        <f t="shared" si="67"/>
        <v>0</v>
      </c>
      <c r="G66" s="185">
        <f t="shared" si="67"/>
        <v>0</v>
      </c>
      <c r="H66" s="185">
        <f t="shared" si="67"/>
        <v>0</v>
      </c>
      <c r="I66" s="185">
        <f t="shared" si="67"/>
        <v>0</v>
      </c>
      <c r="J66" s="185">
        <f t="shared" si="67"/>
        <v>0</v>
      </c>
      <c r="K66" s="185">
        <f t="shared" si="67"/>
        <v>0</v>
      </c>
      <c r="L66" s="185">
        <f t="shared" si="67"/>
        <v>0</v>
      </c>
      <c r="M66" s="185">
        <f t="shared" si="67"/>
        <v>0</v>
      </c>
      <c r="N66" s="185">
        <f t="shared" si="67"/>
        <v>0</v>
      </c>
    </row>
    <row r="67" spans="1:14">
      <c r="A67" s="73"/>
      <c r="C67" s="56" t="str">
        <f>+Worksheet!C20</f>
        <v>Admin &amp; Other Fees</v>
      </c>
      <c r="D67" s="183">
        <f>+VLOOKUP($C67,Worksheet!$C:$L,COLUMN(Worksheet!$G:$G)-2,0)</f>
        <v>0</v>
      </c>
      <c r="E67" s="185">
        <f t="shared" ref="E67:N67" si="68">+D67*(1+VLOOKUP($C67,$C$7:$N$48,E$3,0))</f>
        <v>0</v>
      </c>
      <c r="F67" s="185">
        <f t="shared" si="68"/>
        <v>0</v>
      </c>
      <c r="G67" s="185">
        <f t="shared" si="68"/>
        <v>0</v>
      </c>
      <c r="H67" s="185">
        <f t="shared" si="68"/>
        <v>0</v>
      </c>
      <c r="I67" s="185">
        <f t="shared" si="68"/>
        <v>0</v>
      </c>
      <c r="J67" s="185">
        <f t="shared" si="68"/>
        <v>0</v>
      </c>
      <c r="K67" s="185">
        <f t="shared" si="68"/>
        <v>0</v>
      </c>
      <c r="L67" s="185">
        <f t="shared" si="68"/>
        <v>0</v>
      </c>
      <c r="M67" s="185">
        <f t="shared" si="68"/>
        <v>0</v>
      </c>
      <c r="N67" s="185">
        <f t="shared" si="68"/>
        <v>0</v>
      </c>
    </row>
    <row r="68" spans="1:14">
      <c r="A68" s="73"/>
      <c r="C68" s="56" t="str">
        <f>+Worksheet!C21</f>
        <v>Damages &amp; Deposits</v>
      </c>
      <c r="D68" s="183">
        <f>+VLOOKUP($C68,Worksheet!$C:$L,COLUMN(Worksheet!$G:$G)-2,0)</f>
        <v>0</v>
      </c>
      <c r="E68" s="185">
        <f t="shared" ref="E68:N68" si="69">+D68*(1+VLOOKUP($C68,$C$7:$N$48,E$3,0))</f>
        <v>0</v>
      </c>
      <c r="F68" s="185">
        <f t="shared" si="69"/>
        <v>0</v>
      </c>
      <c r="G68" s="185">
        <f t="shared" si="69"/>
        <v>0</v>
      </c>
      <c r="H68" s="185">
        <f t="shared" si="69"/>
        <v>0</v>
      </c>
      <c r="I68" s="185">
        <f t="shared" si="69"/>
        <v>0</v>
      </c>
      <c r="J68" s="185">
        <f t="shared" si="69"/>
        <v>0</v>
      </c>
      <c r="K68" s="185">
        <f t="shared" si="69"/>
        <v>0</v>
      </c>
      <c r="L68" s="185">
        <f t="shared" si="69"/>
        <v>0</v>
      </c>
      <c r="M68" s="185">
        <f t="shared" si="69"/>
        <v>0</v>
      </c>
      <c r="N68" s="185">
        <f t="shared" si="69"/>
        <v>0</v>
      </c>
    </row>
    <row r="69" spans="1:14">
      <c r="A69" s="73"/>
      <c r="C69" s="56" t="str">
        <f>+Worksheet!C22</f>
        <v>Pet Fees</v>
      </c>
      <c r="D69" s="183">
        <f>+VLOOKUP($C69,Worksheet!$C:$L,COLUMN(Worksheet!$G:$G)-2,0)</f>
        <v>0</v>
      </c>
      <c r="E69" s="185">
        <f t="shared" ref="E69:N69" si="70">+D69*(1+VLOOKUP($C69,$C$7:$N$48,E$3,0))</f>
        <v>0</v>
      </c>
      <c r="F69" s="185">
        <f t="shared" si="70"/>
        <v>0</v>
      </c>
      <c r="G69" s="185">
        <f t="shared" si="70"/>
        <v>0</v>
      </c>
      <c r="H69" s="185">
        <f t="shared" si="70"/>
        <v>0</v>
      </c>
      <c r="I69" s="185">
        <f t="shared" si="70"/>
        <v>0</v>
      </c>
      <c r="J69" s="185">
        <f t="shared" si="70"/>
        <v>0</v>
      </c>
      <c r="K69" s="185">
        <f t="shared" si="70"/>
        <v>0</v>
      </c>
      <c r="L69" s="185">
        <f t="shared" si="70"/>
        <v>0</v>
      </c>
      <c r="M69" s="185">
        <f t="shared" si="70"/>
        <v>0</v>
      </c>
      <c r="N69" s="185">
        <f t="shared" si="70"/>
        <v>0</v>
      </c>
    </row>
    <row r="70" spans="1:14">
      <c r="A70" s="73"/>
      <c r="C70" s="56" t="str">
        <f>+Worksheet!C23</f>
        <v>Other Income 1</v>
      </c>
      <c r="D70" s="183">
        <f>+VLOOKUP($C70,Worksheet!$C:$L,COLUMN(Worksheet!$G:$G)-2,0)</f>
        <v>0</v>
      </c>
      <c r="E70" s="185">
        <f t="shared" ref="E70:N70" si="71">+D70*(1+VLOOKUP($C70,$C$7:$N$48,E$3,0))</f>
        <v>0</v>
      </c>
      <c r="F70" s="185">
        <f t="shared" si="71"/>
        <v>0</v>
      </c>
      <c r="G70" s="185">
        <f t="shared" si="71"/>
        <v>0</v>
      </c>
      <c r="H70" s="185">
        <f t="shared" si="71"/>
        <v>0</v>
      </c>
      <c r="I70" s="185">
        <f t="shared" si="71"/>
        <v>0</v>
      </c>
      <c r="J70" s="185">
        <f t="shared" si="71"/>
        <v>0</v>
      </c>
      <c r="K70" s="185">
        <f t="shared" si="71"/>
        <v>0</v>
      </c>
      <c r="L70" s="185">
        <f t="shared" si="71"/>
        <v>0</v>
      </c>
      <c r="M70" s="185">
        <f t="shared" si="71"/>
        <v>0</v>
      </c>
      <c r="N70" s="185">
        <f t="shared" si="71"/>
        <v>0</v>
      </c>
    </row>
    <row r="71" spans="1:14">
      <c r="A71" s="73"/>
      <c r="C71" s="56" t="str">
        <f>+Worksheet!C24</f>
        <v>Other Income 2</v>
      </c>
      <c r="D71" s="183">
        <f>+VLOOKUP($C71,Worksheet!$C:$L,COLUMN(Worksheet!$G:$G)-2,0)</f>
        <v>0</v>
      </c>
      <c r="E71" s="185">
        <f t="shared" ref="E71:N71" si="72">+D71*(1+VLOOKUP($C71,$C$7:$N$48,E$3,0))</f>
        <v>0</v>
      </c>
      <c r="F71" s="185">
        <f t="shared" si="72"/>
        <v>0</v>
      </c>
      <c r="G71" s="185">
        <f t="shared" si="72"/>
        <v>0</v>
      </c>
      <c r="H71" s="185">
        <f t="shared" si="72"/>
        <v>0</v>
      </c>
      <c r="I71" s="185">
        <f t="shared" si="72"/>
        <v>0</v>
      </c>
      <c r="J71" s="185">
        <f t="shared" si="72"/>
        <v>0</v>
      </c>
      <c r="K71" s="185">
        <f t="shared" si="72"/>
        <v>0</v>
      </c>
      <c r="L71" s="185">
        <f t="shared" si="72"/>
        <v>0</v>
      </c>
      <c r="M71" s="185">
        <f t="shared" si="72"/>
        <v>0</v>
      </c>
      <c r="N71" s="185">
        <f t="shared" si="72"/>
        <v>0</v>
      </c>
    </row>
    <row r="72" spans="1:14">
      <c r="A72" s="73"/>
      <c r="C72" s="56" t="str">
        <f>+Worksheet!C25</f>
        <v>Other Income 3</v>
      </c>
      <c r="D72" s="183">
        <f>+VLOOKUP($C72,Worksheet!$C:$L,COLUMN(Worksheet!$G:$G)-2,0)</f>
        <v>0</v>
      </c>
      <c r="E72" s="185">
        <f t="shared" ref="E72:N72" si="73">+D72*(1+VLOOKUP($C72,$C$7:$N$48,E$3,0))</f>
        <v>0</v>
      </c>
      <c r="F72" s="185">
        <f t="shared" si="73"/>
        <v>0</v>
      </c>
      <c r="G72" s="185">
        <f t="shared" si="73"/>
        <v>0</v>
      </c>
      <c r="H72" s="185">
        <f t="shared" si="73"/>
        <v>0</v>
      </c>
      <c r="I72" s="185">
        <f t="shared" si="73"/>
        <v>0</v>
      </c>
      <c r="J72" s="185">
        <f t="shared" si="73"/>
        <v>0</v>
      </c>
      <c r="K72" s="185">
        <f t="shared" si="73"/>
        <v>0</v>
      </c>
      <c r="L72" s="185">
        <f t="shared" si="73"/>
        <v>0</v>
      </c>
      <c r="M72" s="185">
        <f t="shared" si="73"/>
        <v>0</v>
      </c>
      <c r="N72" s="185">
        <f t="shared" si="73"/>
        <v>0</v>
      </c>
    </row>
    <row r="73" spans="1:14" ht="13.15" thickBot="1">
      <c r="A73" s="73"/>
      <c r="C73" s="160" t="str">
        <f>+Worksheet!C26</f>
        <v>Miscellaneous Income</v>
      </c>
      <c r="D73" s="183">
        <f>+VLOOKUP($C73,Worksheet!$C:$L,COLUMN(Worksheet!$G:$G)-2,0)</f>
        <v>0</v>
      </c>
      <c r="E73" s="186">
        <f t="shared" ref="E73:N73" si="74">+D73*(1+VLOOKUP($C73,$C$7:$N$48,E$3,0))</f>
        <v>0</v>
      </c>
      <c r="F73" s="186">
        <f t="shared" si="74"/>
        <v>0</v>
      </c>
      <c r="G73" s="186">
        <f t="shared" si="74"/>
        <v>0</v>
      </c>
      <c r="H73" s="186">
        <f t="shared" si="74"/>
        <v>0</v>
      </c>
      <c r="I73" s="186">
        <f t="shared" si="74"/>
        <v>0</v>
      </c>
      <c r="J73" s="186">
        <f t="shared" si="74"/>
        <v>0</v>
      </c>
      <c r="K73" s="186">
        <f t="shared" si="74"/>
        <v>0</v>
      </c>
      <c r="L73" s="186">
        <f t="shared" si="74"/>
        <v>0</v>
      </c>
      <c r="M73" s="186">
        <f t="shared" si="74"/>
        <v>0</v>
      </c>
      <c r="N73" s="186">
        <f t="shared" si="74"/>
        <v>0</v>
      </c>
    </row>
    <row r="74" spans="1:14" s="1" customFormat="1" ht="13.15">
      <c r="A74" s="179"/>
      <c r="C74" s="176" t="str">
        <f>+Worksheet!C27</f>
        <v>Total Other Income</v>
      </c>
      <c r="D74" s="187">
        <f>+SUM(D63:D73)</f>
        <v>0</v>
      </c>
      <c r="E74" s="187">
        <f t="shared" ref="E74:N74" si="75">+SUM(E63:E73)</f>
        <v>0</v>
      </c>
      <c r="F74" s="187">
        <f t="shared" si="75"/>
        <v>0</v>
      </c>
      <c r="G74" s="187">
        <f t="shared" si="75"/>
        <v>0</v>
      </c>
      <c r="H74" s="187">
        <f t="shared" si="75"/>
        <v>0</v>
      </c>
      <c r="I74" s="187">
        <f t="shared" si="75"/>
        <v>0</v>
      </c>
      <c r="J74" s="187">
        <f t="shared" si="75"/>
        <v>0</v>
      </c>
      <c r="K74" s="187">
        <f t="shared" si="75"/>
        <v>0</v>
      </c>
      <c r="L74" s="187">
        <f t="shared" si="75"/>
        <v>0</v>
      </c>
      <c r="M74" s="187">
        <f t="shared" si="75"/>
        <v>0</v>
      </c>
      <c r="N74" s="187">
        <f t="shared" si="75"/>
        <v>0</v>
      </c>
    </row>
    <row r="75" spans="1:14" ht="13.15" thickBot="1">
      <c r="A75" s="73"/>
      <c r="C75" s="56"/>
      <c r="D75" s="185"/>
      <c r="E75" s="185"/>
      <c r="F75" s="185"/>
      <c r="G75" s="185"/>
      <c r="H75" s="185"/>
      <c r="I75" s="185"/>
      <c r="J75" s="185"/>
      <c r="K75" s="185"/>
      <c r="L75" s="185"/>
      <c r="M75" s="185"/>
      <c r="N75" s="185"/>
    </row>
    <row r="76" spans="1:14" s="1" customFormat="1" ht="13.15">
      <c r="A76" s="179"/>
      <c r="C76" s="176" t="str">
        <f>+Worksheet!C29</f>
        <v>Effective Gross Income</v>
      </c>
      <c r="D76" s="187">
        <f>+D61+D74</f>
        <v>366684.91875000001</v>
      </c>
      <c r="E76" s="187">
        <f t="shared" ref="E76:N76" si="76">+E61+E74</f>
        <v>402459.75</v>
      </c>
      <c r="F76" s="187">
        <f t="shared" si="76"/>
        <v>424996.13250000001</v>
      </c>
      <c r="G76" s="187">
        <f t="shared" si="76"/>
        <v>433496.05514999997</v>
      </c>
      <c r="H76" s="187">
        <f t="shared" si="76"/>
        <v>442165.97625299997</v>
      </c>
      <c r="I76" s="187">
        <f t="shared" si="76"/>
        <v>451009.29577806004</v>
      </c>
      <c r="J76" s="187">
        <f t="shared" si="76"/>
        <v>460029.4816936212</v>
      </c>
      <c r="K76" s="187">
        <f t="shared" si="76"/>
        <v>469230.07132749358</v>
      </c>
      <c r="L76" s="187">
        <f t="shared" si="76"/>
        <v>478614.67275404354</v>
      </c>
      <c r="M76" s="187">
        <f t="shared" si="76"/>
        <v>488186.96620912442</v>
      </c>
      <c r="N76" s="187">
        <f t="shared" si="76"/>
        <v>497950.70553330705</v>
      </c>
    </row>
    <row r="77" spans="1:14">
      <c r="A77" s="73"/>
      <c r="C77" s="56"/>
      <c r="D77" s="185"/>
      <c r="E77" s="185"/>
      <c r="F77" s="185"/>
      <c r="G77" s="185"/>
      <c r="H77" s="185"/>
      <c r="I77" s="185"/>
      <c r="J77" s="185"/>
      <c r="K77" s="185"/>
      <c r="L77" s="185"/>
      <c r="M77" s="185"/>
      <c r="N77" s="185"/>
    </row>
    <row r="78" spans="1:14" ht="15.4" thickBot="1">
      <c r="A78" s="73"/>
      <c r="C78" s="7" t="str">
        <f>+Worksheet!C31</f>
        <v>Expenses</v>
      </c>
      <c r="D78" s="184"/>
      <c r="E78" s="183"/>
      <c r="F78" s="183"/>
      <c r="G78" s="183"/>
      <c r="H78" s="183"/>
      <c r="I78" s="183"/>
      <c r="J78" s="183"/>
      <c r="K78" s="183"/>
      <c r="L78" s="183"/>
      <c r="M78" s="183"/>
      <c r="N78" s="183"/>
    </row>
    <row r="79" spans="1:14">
      <c r="A79" s="73"/>
      <c r="C79" s="170" t="str">
        <f>+Worksheet!C32</f>
        <v>Utilities - General &amp; Other</v>
      </c>
      <c r="D79" s="180">
        <f>+VLOOKUP($C79,Worksheet!$C:$L,COLUMN(Worksheet!$G:$G)-2,0)</f>
        <v>0</v>
      </c>
      <c r="E79" s="180">
        <f t="shared" ref="E79:N79" si="77">+D79*(1+VLOOKUP($C79,$C$7:$N$48,E$3,0))</f>
        <v>0</v>
      </c>
      <c r="F79" s="180">
        <f t="shared" si="77"/>
        <v>0</v>
      </c>
      <c r="G79" s="180">
        <f t="shared" si="77"/>
        <v>0</v>
      </c>
      <c r="H79" s="180">
        <f t="shared" si="77"/>
        <v>0</v>
      </c>
      <c r="I79" s="180">
        <f t="shared" si="77"/>
        <v>0</v>
      </c>
      <c r="J79" s="180">
        <f t="shared" si="77"/>
        <v>0</v>
      </c>
      <c r="K79" s="180">
        <f t="shared" si="77"/>
        <v>0</v>
      </c>
      <c r="L79" s="180">
        <f t="shared" si="77"/>
        <v>0</v>
      </c>
      <c r="M79" s="180">
        <f t="shared" si="77"/>
        <v>0</v>
      </c>
      <c r="N79" s="180">
        <f t="shared" si="77"/>
        <v>0</v>
      </c>
    </row>
    <row r="80" spans="1:14">
      <c r="A80" s="73"/>
      <c r="C80" s="56" t="str">
        <f>+Worksheet!C33</f>
        <v>Utilities - Gas &amp; Electricity</v>
      </c>
      <c r="D80" s="185">
        <f>+VLOOKUP($C80,Worksheet!$C:$L,COLUMN(Worksheet!$G:$G)-2,0)</f>
        <v>0</v>
      </c>
      <c r="E80" s="185">
        <f t="shared" ref="E80:N80" si="78">+D80*(1+VLOOKUP($C80,$C$7:$N$48,E$3,0))</f>
        <v>0</v>
      </c>
      <c r="F80" s="185">
        <f t="shared" si="78"/>
        <v>0</v>
      </c>
      <c r="G80" s="185">
        <f t="shared" si="78"/>
        <v>0</v>
      </c>
      <c r="H80" s="185">
        <f t="shared" si="78"/>
        <v>0</v>
      </c>
      <c r="I80" s="185">
        <f t="shared" si="78"/>
        <v>0</v>
      </c>
      <c r="J80" s="185">
        <f t="shared" si="78"/>
        <v>0</v>
      </c>
      <c r="K80" s="185">
        <f t="shared" si="78"/>
        <v>0</v>
      </c>
      <c r="L80" s="185">
        <f t="shared" si="78"/>
        <v>0</v>
      </c>
      <c r="M80" s="185">
        <f t="shared" si="78"/>
        <v>0</v>
      </c>
      <c r="N80" s="185">
        <f t="shared" si="78"/>
        <v>0</v>
      </c>
    </row>
    <row r="81" spans="1:17">
      <c r="A81" s="73"/>
      <c r="C81" s="56" t="str">
        <f>+Worksheet!C34</f>
        <v>Utilities - Water &amp; Sewer</v>
      </c>
      <c r="D81" s="185">
        <f>+VLOOKUP($C81,Worksheet!$C:$L,COLUMN(Worksheet!$G:$G)-2,0)</f>
        <v>0</v>
      </c>
      <c r="E81" s="185">
        <f t="shared" ref="E81:N81" si="79">+D81*(1+VLOOKUP($C81,$C$7:$N$48,E$3,0))</f>
        <v>0</v>
      </c>
      <c r="F81" s="185">
        <f t="shared" si="79"/>
        <v>0</v>
      </c>
      <c r="G81" s="185">
        <f t="shared" si="79"/>
        <v>0</v>
      </c>
      <c r="H81" s="185">
        <f t="shared" si="79"/>
        <v>0</v>
      </c>
      <c r="I81" s="185">
        <f t="shared" si="79"/>
        <v>0</v>
      </c>
      <c r="J81" s="185">
        <f t="shared" si="79"/>
        <v>0</v>
      </c>
      <c r="K81" s="185">
        <f t="shared" si="79"/>
        <v>0</v>
      </c>
      <c r="L81" s="185">
        <f t="shared" si="79"/>
        <v>0</v>
      </c>
      <c r="M81" s="185">
        <f t="shared" si="79"/>
        <v>0</v>
      </c>
      <c r="N81" s="185">
        <f t="shared" si="79"/>
        <v>0</v>
      </c>
    </row>
    <row r="82" spans="1:17">
      <c r="A82" s="73"/>
      <c r="C82" s="56" t="str">
        <f>+Worksheet!C35</f>
        <v>Trash</v>
      </c>
      <c r="D82" s="185">
        <f>+VLOOKUP($C82,Worksheet!$C:$L,COLUMN(Worksheet!$G:$G)-2,0)</f>
        <v>0</v>
      </c>
      <c r="E82" s="185">
        <f t="shared" ref="E82:N82" si="80">+D82*(1+VLOOKUP($C82,$C$7:$N$48,E$3,0))</f>
        <v>0</v>
      </c>
      <c r="F82" s="185">
        <f t="shared" si="80"/>
        <v>0</v>
      </c>
      <c r="G82" s="185">
        <f t="shared" si="80"/>
        <v>0</v>
      </c>
      <c r="H82" s="185">
        <f t="shared" si="80"/>
        <v>0</v>
      </c>
      <c r="I82" s="185">
        <f t="shared" si="80"/>
        <v>0</v>
      </c>
      <c r="J82" s="185">
        <f t="shared" si="80"/>
        <v>0</v>
      </c>
      <c r="K82" s="185">
        <f t="shared" si="80"/>
        <v>0</v>
      </c>
      <c r="L82" s="185">
        <f t="shared" si="80"/>
        <v>0</v>
      </c>
      <c r="M82" s="185">
        <f t="shared" si="80"/>
        <v>0</v>
      </c>
      <c r="N82" s="185">
        <f t="shared" si="80"/>
        <v>0</v>
      </c>
    </row>
    <row r="83" spans="1:17">
      <c r="A83" s="73"/>
      <c r="C83" s="56" t="str">
        <f>+Worksheet!C36</f>
        <v>Repairs &amp; Maintenance</v>
      </c>
      <c r="D83" s="185">
        <f>+VLOOKUP($C83,Worksheet!$C:$L,COLUMN(Worksheet!$G:$G)-2,0)</f>
        <v>0</v>
      </c>
      <c r="E83" s="185">
        <f t="shared" ref="E83:N83" si="81">+D83*(1+VLOOKUP($C83,$C$7:$N$48,E$3,0))</f>
        <v>0</v>
      </c>
      <c r="F83" s="185">
        <f t="shared" si="81"/>
        <v>0</v>
      </c>
      <c r="G83" s="185">
        <f t="shared" si="81"/>
        <v>0</v>
      </c>
      <c r="H83" s="185">
        <f t="shared" si="81"/>
        <v>0</v>
      </c>
      <c r="I83" s="185">
        <f t="shared" si="81"/>
        <v>0</v>
      </c>
      <c r="J83" s="185">
        <f t="shared" si="81"/>
        <v>0</v>
      </c>
      <c r="K83" s="185">
        <f t="shared" si="81"/>
        <v>0</v>
      </c>
      <c r="L83" s="185">
        <f t="shared" si="81"/>
        <v>0</v>
      </c>
      <c r="M83" s="185">
        <f t="shared" si="81"/>
        <v>0</v>
      </c>
      <c r="N83" s="185">
        <f t="shared" si="81"/>
        <v>0</v>
      </c>
    </row>
    <row r="84" spans="1:17">
      <c r="A84" s="73"/>
      <c r="C84" s="56" t="str">
        <f>+Worksheet!C37</f>
        <v>Grounds &amp; Landscaping</v>
      </c>
      <c r="D84" s="185">
        <f>+VLOOKUP($C84,Worksheet!$C:$L,COLUMN(Worksheet!$G:$G)-2,0)</f>
        <v>0</v>
      </c>
      <c r="E84" s="185">
        <f t="shared" ref="E84:N84" si="82">+D84*(1+VLOOKUP($C84,$C$7:$N$48,E$3,0))</f>
        <v>0</v>
      </c>
      <c r="F84" s="185">
        <f t="shared" si="82"/>
        <v>0</v>
      </c>
      <c r="G84" s="185">
        <f t="shared" si="82"/>
        <v>0</v>
      </c>
      <c r="H84" s="185">
        <f t="shared" si="82"/>
        <v>0</v>
      </c>
      <c r="I84" s="185">
        <f t="shared" si="82"/>
        <v>0</v>
      </c>
      <c r="J84" s="185">
        <f t="shared" si="82"/>
        <v>0</v>
      </c>
      <c r="K84" s="185">
        <f t="shared" si="82"/>
        <v>0</v>
      </c>
      <c r="L84" s="185">
        <f t="shared" si="82"/>
        <v>0</v>
      </c>
      <c r="M84" s="185">
        <f t="shared" si="82"/>
        <v>0</v>
      </c>
      <c r="N84" s="185">
        <f t="shared" si="82"/>
        <v>0</v>
      </c>
    </row>
    <row r="85" spans="1:17">
      <c r="A85" s="73"/>
      <c r="C85" s="56" t="str">
        <f>+Worksheet!C38</f>
        <v>Security &amp; Fire</v>
      </c>
      <c r="D85" s="185">
        <f>+VLOOKUP($C85,Worksheet!$C:$L,COLUMN(Worksheet!$G:$G)-2,0)</f>
        <v>0</v>
      </c>
      <c r="E85" s="185">
        <f t="shared" ref="E85:N85" si="83">+D85*(1+VLOOKUP($C85,$C$7:$N$48,E$3,0))</f>
        <v>0</v>
      </c>
      <c r="F85" s="185">
        <f t="shared" si="83"/>
        <v>0</v>
      </c>
      <c r="G85" s="185">
        <f t="shared" si="83"/>
        <v>0</v>
      </c>
      <c r="H85" s="185">
        <f t="shared" si="83"/>
        <v>0</v>
      </c>
      <c r="I85" s="185">
        <f t="shared" si="83"/>
        <v>0</v>
      </c>
      <c r="J85" s="185">
        <f t="shared" si="83"/>
        <v>0</v>
      </c>
      <c r="K85" s="185">
        <f t="shared" si="83"/>
        <v>0</v>
      </c>
      <c r="L85" s="185">
        <f t="shared" si="83"/>
        <v>0</v>
      </c>
      <c r="M85" s="185">
        <f t="shared" si="83"/>
        <v>0</v>
      </c>
      <c r="N85" s="185">
        <f t="shared" si="83"/>
        <v>0</v>
      </c>
    </row>
    <row r="86" spans="1:17">
      <c r="A86" s="73"/>
      <c r="C86" s="56" t="str">
        <f>+Worksheet!C39</f>
        <v>Payroll</v>
      </c>
      <c r="D86" s="185">
        <f>+VLOOKUP($C86,Worksheet!$C:$L,COLUMN(Worksheet!$G:$G)-2,0)</f>
        <v>0</v>
      </c>
      <c r="E86" s="185">
        <f t="shared" ref="E86:N86" si="84">+D86*(1+VLOOKUP($C86,$C$7:$N$48,E$3,0))</f>
        <v>0</v>
      </c>
      <c r="F86" s="185">
        <f t="shared" si="84"/>
        <v>0</v>
      </c>
      <c r="G86" s="185">
        <f t="shared" si="84"/>
        <v>0</v>
      </c>
      <c r="H86" s="185">
        <f t="shared" si="84"/>
        <v>0</v>
      </c>
      <c r="I86" s="185">
        <f t="shared" si="84"/>
        <v>0</v>
      </c>
      <c r="J86" s="185">
        <f t="shared" si="84"/>
        <v>0</v>
      </c>
      <c r="K86" s="185">
        <f t="shared" si="84"/>
        <v>0</v>
      </c>
      <c r="L86" s="185">
        <f t="shared" si="84"/>
        <v>0</v>
      </c>
      <c r="M86" s="185">
        <f t="shared" si="84"/>
        <v>0</v>
      </c>
      <c r="N86" s="185">
        <f t="shared" si="84"/>
        <v>0</v>
      </c>
      <c r="P86" s="185"/>
    </row>
    <row r="87" spans="1:17">
      <c r="A87" s="73"/>
      <c r="C87" s="56" t="str">
        <f>+Worksheet!C40</f>
        <v>Management Fees</v>
      </c>
      <c r="D87" s="185">
        <f>+D$76*Dashboard!$H$21</f>
        <v>29334.7935</v>
      </c>
      <c r="E87" s="185">
        <f>+E$76*Dashboard!$H$21</f>
        <v>32196.780000000002</v>
      </c>
      <c r="F87" s="185">
        <f>+F$76*Dashboard!$H$21</f>
        <v>33999.690600000002</v>
      </c>
      <c r="G87" s="185">
        <f>+G$76*Dashboard!$H$21</f>
        <v>34679.684411999995</v>
      </c>
      <c r="H87" s="185">
        <f>+H$76*Dashboard!$H$21</f>
        <v>35373.278100240001</v>
      </c>
      <c r="I87" s="185">
        <f>+I$76*Dashboard!$H$21</f>
        <v>36080.743662244808</v>
      </c>
      <c r="J87" s="185">
        <f>+J$76*Dashboard!$H$21</f>
        <v>36802.3585354897</v>
      </c>
      <c r="K87" s="185">
        <f>+K$76*Dashboard!$H$21</f>
        <v>37538.40570619949</v>
      </c>
      <c r="L87" s="185">
        <f>+L$76*Dashboard!$H$21</f>
        <v>38289.173820323485</v>
      </c>
      <c r="M87" s="185">
        <f>+M$76*Dashboard!$H$21</f>
        <v>39054.957296729954</v>
      </c>
      <c r="N87" s="185">
        <f>+N$76*Dashboard!$H$21</f>
        <v>39836.056442664565</v>
      </c>
      <c r="P87" s="511"/>
      <c r="Q87" s="511"/>
    </row>
    <row r="88" spans="1:17">
      <c r="A88" s="73"/>
      <c r="C88" s="56" t="str">
        <f>+Worksheet!C41</f>
        <v>Administrative &amp; Office</v>
      </c>
      <c r="D88" s="185">
        <f>+VLOOKUP($C88,Worksheet!$C:$L,COLUMN(Worksheet!$G:$G)-2,0)</f>
        <v>0</v>
      </c>
      <c r="E88" s="185">
        <f t="shared" ref="E88:N88" si="85">+D88*(1+VLOOKUP($C88,$C$7:$N$48,E$3,0))</f>
        <v>0</v>
      </c>
      <c r="F88" s="185">
        <f t="shared" si="85"/>
        <v>0</v>
      </c>
      <c r="G88" s="185">
        <f t="shared" si="85"/>
        <v>0</v>
      </c>
      <c r="H88" s="185">
        <f t="shared" si="85"/>
        <v>0</v>
      </c>
      <c r="I88" s="185">
        <f t="shared" si="85"/>
        <v>0</v>
      </c>
      <c r="J88" s="185">
        <f t="shared" si="85"/>
        <v>0</v>
      </c>
      <c r="K88" s="185">
        <f t="shared" si="85"/>
        <v>0</v>
      </c>
      <c r="L88" s="185">
        <f t="shared" si="85"/>
        <v>0</v>
      </c>
      <c r="M88" s="185">
        <f t="shared" si="85"/>
        <v>0</v>
      </c>
      <c r="N88" s="185">
        <f t="shared" si="85"/>
        <v>0</v>
      </c>
      <c r="P88" s="185"/>
    </row>
    <row r="89" spans="1:17">
      <c r="A89" s="73"/>
      <c r="C89" s="56" t="str">
        <f>+Worksheet!C42</f>
        <v>Marketing &amp; Leasing</v>
      </c>
      <c r="D89" s="185">
        <f>+VLOOKUP($C89,Worksheet!$C:$L,COLUMN(Worksheet!$G:$G)-2,0)</f>
        <v>0</v>
      </c>
      <c r="E89" s="185">
        <f t="shared" ref="E89:N89" si="86">+D89*(1+VLOOKUP($C89,$C$7:$N$48,E$3,0))</f>
        <v>0</v>
      </c>
      <c r="F89" s="185">
        <f t="shared" si="86"/>
        <v>0</v>
      </c>
      <c r="G89" s="185">
        <f t="shared" si="86"/>
        <v>0</v>
      </c>
      <c r="H89" s="185">
        <f t="shared" si="86"/>
        <v>0</v>
      </c>
      <c r="I89" s="185">
        <f t="shared" si="86"/>
        <v>0</v>
      </c>
      <c r="J89" s="185">
        <f t="shared" si="86"/>
        <v>0</v>
      </c>
      <c r="K89" s="185">
        <f t="shared" si="86"/>
        <v>0</v>
      </c>
      <c r="L89" s="185">
        <f t="shared" si="86"/>
        <v>0</v>
      </c>
      <c r="M89" s="185">
        <f t="shared" si="86"/>
        <v>0</v>
      </c>
      <c r="N89" s="185">
        <f t="shared" si="86"/>
        <v>0</v>
      </c>
    </row>
    <row r="90" spans="1:17">
      <c r="A90" s="73"/>
      <c r="C90" s="56" t="str">
        <f>+Worksheet!C43</f>
        <v>Property Tax</v>
      </c>
      <c r="D90" s="185">
        <f>+VLOOKUP($C90,Worksheet!$C:$L,COLUMN(Worksheet!$G:$G)-2,0)</f>
        <v>55000.000000000007</v>
      </c>
      <c r="E90" s="185">
        <f t="shared" ref="E90:N90" si="87">+D90*(1+VLOOKUP($C90,$C$7:$N$48,E$3,0))</f>
        <v>56156.1</v>
      </c>
      <c r="F90" s="185">
        <f t="shared" si="87"/>
        <v>57336.501221999992</v>
      </c>
      <c r="G90" s="185">
        <f t="shared" si="87"/>
        <v>58541.714477686422</v>
      </c>
      <c r="H90" s="185">
        <f t="shared" si="87"/>
        <v>59772.261316007396</v>
      </c>
      <c r="I90" s="185">
        <f t="shared" si="87"/>
        <v>61028.674248869858</v>
      </c>
      <c r="J90" s="185">
        <f t="shared" si="87"/>
        <v>62311.496981581091</v>
      </c>
      <c r="K90" s="185">
        <f t="shared" ca="1" si="87"/>
        <v>64978.126027475948</v>
      </c>
      <c r="L90" s="185">
        <f t="shared" ca="1" si="87"/>
        <v>66343.966236573498</v>
      </c>
      <c r="M90" s="185">
        <f t="shared" ca="1" si="87"/>
        <v>67738.516406866256</v>
      </c>
      <c r="N90" s="185">
        <f t="shared" ca="1" si="87"/>
        <v>69162.380021738572</v>
      </c>
    </row>
    <row r="91" spans="1:17">
      <c r="A91" s="73"/>
      <c r="C91" s="56" t="str">
        <f>+Worksheet!C44</f>
        <v>Insurance</v>
      </c>
      <c r="D91" s="185">
        <f>+VLOOKUP($C91,Worksheet!$C:$L,COLUMN(Worksheet!$G:$G)-2,0)</f>
        <v>0</v>
      </c>
      <c r="E91" s="185">
        <f t="shared" ref="E91:N91" si="88">+D91*(1+VLOOKUP($C91,$C$7:$N$48,E$3,0))</f>
        <v>0</v>
      </c>
      <c r="F91" s="185">
        <f t="shared" si="88"/>
        <v>0</v>
      </c>
      <c r="G91" s="185">
        <f t="shared" si="88"/>
        <v>0</v>
      </c>
      <c r="H91" s="185">
        <f t="shared" si="88"/>
        <v>0</v>
      </c>
      <c r="I91" s="185">
        <f t="shared" si="88"/>
        <v>0</v>
      </c>
      <c r="J91" s="185">
        <f t="shared" si="88"/>
        <v>0</v>
      </c>
      <c r="K91" s="185">
        <f t="shared" si="88"/>
        <v>0</v>
      </c>
      <c r="L91" s="185">
        <f t="shared" si="88"/>
        <v>0</v>
      </c>
      <c r="M91" s="185">
        <f t="shared" si="88"/>
        <v>0</v>
      </c>
      <c r="N91" s="185">
        <f t="shared" si="88"/>
        <v>0</v>
      </c>
    </row>
    <row r="92" spans="1:17">
      <c r="A92" s="73"/>
      <c r="C92" s="56" t="str">
        <f>+Worksheet!C45</f>
        <v>Contract Services</v>
      </c>
      <c r="D92" s="185">
        <f>+VLOOKUP($C92,Worksheet!$C:$L,COLUMN(Worksheet!$G:$G)-2,0)</f>
        <v>0</v>
      </c>
      <c r="E92" s="185">
        <f t="shared" ref="E92:N92" si="89">+D92*(1+VLOOKUP($C92,$C$7:$N$48,E$3,0))</f>
        <v>0</v>
      </c>
      <c r="F92" s="185">
        <f t="shared" si="89"/>
        <v>0</v>
      </c>
      <c r="G92" s="185">
        <f t="shared" si="89"/>
        <v>0</v>
      </c>
      <c r="H92" s="185">
        <f t="shared" si="89"/>
        <v>0</v>
      </c>
      <c r="I92" s="185">
        <f t="shared" si="89"/>
        <v>0</v>
      </c>
      <c r="J92" s="185">
        <f t="shared" si="89"/>
        <v>0</v>
      </c>
      <c r="K92" s="185">
        <f t="shared" si="89"/>
        <v>0</v>
      </c>
      <c r="L92" s="185">
        <f t="shared" si="89"/>
        <v>0</v>
      </c>
      <c r="M92" s="185">
        <f t="shared" si="89"/>
        <v>0</v>
      </c>
      <c r="N92" s="185">
        <f t="shared" si="89"/>
        <v>0</v>
      </c>
    </row>
    <row r="93" spans="1:17">
      <c r="A93" s="73"/>
      <c r="C93" s="56" t="str">
        <f>+Worksheet!C46</f>
        <v>Professional Services</v>
      </c>
      <c r="D93" s="185">
        <f>+VLOOKUP($C93,Worksheet!$C:$L,COLUMN(Worksheet!$G:$G)-2,0)</f>
        <v>0</v>
      </c>
      <c r="E93" s="185">
        <f t="shared" ref="E93:N93" si="90">+D93*(1+VLOOKUP($C93,$C$7:$N$48,E$3,0))</f>
        <v>0</v>
      </c>
      <c r="F93" s="185">
        <f t="shared" si="90"/>
        <v>0</v>
      </c>
      <c r="G93" s="185">
        <f t="shared" si="90"/>
        <v>0</v>
      </c>
      <c r="H93" s="185">
        <f t="shared" si="90"/>
        <v>0</v>
      </c>
      <c r="I93" s="185">
        <f t="shared" si="90"/>
        <v>0</v>
      </c>
      <c r="J93" s="185">
        <f t="shared" si="90"/>
        <v>0</v>
      </c>
      <c r="K93" s="185">
        <f t="shared" si="90"/>
        <v>0</v>
      </c>
      <c r="L93" s="185">
        <f t="shared" si="90"/>
        <v>0</v>
      </c>
      <c r="M93" s="185">
        <f t="shared" si="90"/>
        <v>0</v>
      </c>
      <c r="N93" s="185">
        <f t="shared" si="90"/>
        <v>0</v>
      </c>
    </row>
    <row r="94" spans="1:17">
      <c r="A94" s="73"/>
      <c r="C94" s="56" t="str">
        <f>+Worksheet!C47</f>
        <v>Other Expense 1</v>
      </c>
      <c r="D94" s="185">
        <f>+VLOOKUP($C94,Worksheet!$C:$L,COLUMN(Worksheet!$G:$G)-2,0)</f>
        <v>0</v>
      </c>
      <c r="E94" s="185">
        <f t="shared" ref="E94:N94" si="91">+D94*(1+VLOOKUP($C94,$C$7:$N$48,E$3,0))</f>
        <v>0</v>
      </c>
      <c r="F94" s="185">
        <f t="shared" si="91"/>
        <v>0</v>
      </c>
      <c r="G94" s="185">
        <f t="shared" si="91"/>
        <v>0</v>
      </c>
      <c r="H94" s="185">
        <f t="shared" si="91"/>
        <v>0</v>
      </c>
      <c r="I94" s="185">
        <f t="shared" si="91"/>
        <v>0</v>
      </c>
      <c r="J94" s="185">
        <f t="shared" si="91"/>
        <v>0</v>
      </c>
      <c r="K94" s="185">
        <f t="shared" si="91"/>
        <v>0</v>
      </c>
      <c r="L94" s="185">
        <f t="shared" si="91"/>
        <v>0</v>
      </c>
      <c r="M94" s="185">
        <f t="shared" si="91"/>
        <v>0</v>
      </c>
      <c r="N94" s="185">
        <f t="shared" si="91"/>
        <v>0</v>
      </c>
    </row>
    <row r="95" spans="1:17">
      <c r="A95" s="73"/>
      <c r="C95" s="56" t="str">
        <f>+Worksheet!C48</f>
        <v>Other Expense 2</v>
      </c>
      <c r="D95" s="185">
        <f>+VLOOKUP($C95,Worksheet!$C:$L,COLUMN(Worksheet!$G:$G)-2,0)</f>
        <v>0</v>
      </c>
      <c r="E95" s="185">
        <f t="shared" ref="E95:N95" si="92">+D95*(1+VLOOKUP($C95,$C$7:$N$48,E$3,0))</f>
        <v>0</v>
      </c>
      <c r="F95" s="185">
        <f t="shared" si="92"/>
        <v>0</v>
      </c>
      <c r="G95" s="185">
        <f t="shared" si="92"/>
        <v>0</v>
      </c>
      <c r="H95" s="185">
        <f t="shared" si="92"/>
        <v>0</v>
      </c>
      <c r="I95" s="185">
        <f t="shared" si="92"/>
        <v>0</v>
      </c>
      <c r="J95" s="185">
        <f t="shared" si="92"/>
        <v>0</v>
      </c>
      <c r="K95" s="185">
        <f t="shared" si="92"/>
        <v>0</v>
      </c>
      <c r="L95" s="185">
        <f t="shared" si="92"/>
        <v>0</v>
      </c>
      <c r="M95" s="185">
        <f t="shared" si="92"/>
        <v>0</v>
      </c>
      <c r="N95" s="185">
        <f t="shared" si="92"/>
        <v>0</v>
      </c>
    </row>
    <row r="96" spans="1:17">
      <c r="A96" s="73"/>
      <c r="C96" s="56" t="str">
        <f>+Worksheet!C49</f>
        <v>Other Expense 3</v>
      </c>
      <c r="D96" s="185">
        <f>+VLOOKUP($C96,Worksheet!$C:$L,COLUMN(Worksheet!$G:$G)-2,0)</f>
        <v>0</v>
      </c>
      <c r="E96" s="185">
        <f t="shared" ref="E96:N96" si="93">+D96*(1+VLOOKUP($C96,$C$7:$N$48,E$3,0))</f>
        <v>0</v>
      </c>
      <c r="F96" s="185">
        <f t="shared" si="93"/>
        <v>0</v>
      </c>
      <c r="G96" s="185">
        <f t="shared" si="93"/>
        <v>0</v>
      </c>
      <c r="H96" s="185">
        <f t="shared" si="93"/>
        <v>0</v>
      </c>
      <c r="I96" s="185">
        <f t="shared" si="93"/>
        <v>0</v>
      </c>
      <c r="J96" s="185">
        <f t="shared" si="93"/>
        <v>0</v>
      </c>
      <c r="K96" s="185">
        <f t="shared" si="93"/>
        <v>0</v>
      </c>
      <c r="L96" s="185">
        <f t="shared" si="93"/>
        <v>0</v>
      </c>
      <c r="M96" s="185">
        <f t="shared" si="93"/>
        <v>0</v>
      </c>
      <c r="N96" s="185">
        <f t="shared" si="93"/>
        <v>0</v>
      </c>
    </row>
    <row r="97" spans="1:14" ht="13.15" thickBot="1">
      <c r="A97" s="73"/>
      <c r="C97" s="56" t="str">
        <f>+Worksheet!C50</f>
        <v>Replacement Reserves</v>
      </c>
      <c r="D97" s="185">
        <f>+VLOOKUP($C97,Worksheet!$C:$L,COLUMN(Worksheet!$G:$G)-2,0)</f>
        <v>12000</v>
      </c>
      <c r="E97" s="185">
        <f t="shared" ref="E97:N97" si="94">+D97*(1+VLOOKUP($C97,$C$7:$N$48,E$3,0))</f>
        <v>12360</v>
      </c>
      <c r="F97" s="185">
        <f t="shared" si="94"/>
        <v>12730.800000000001</v>
      </c>
      <c r="G97" s="185">
        <f t="shared" si="94"/>
        <v>13112.724000000002</v>
      </c>
      <c r="H97" s="185">
        <f t="shared" si="94"/>
        <v>13506.105720000003</v>
      </c>
      <c r="I97" s="185">
        <f t="shared" si="94"/>
        <v>13911.288891600003</v>
      </c>
      <c r="J97" s="185">
        <f t="shared" si="94"/>
        <v>14328.627558348004</v>
      </c>
      <c r="K97" s="185">
        <f t="shared" si="94"/>
        <v>14758.486385098444</v>
      </c>
      <c r="L97" s="185">
        <f t="shared" si="94"/>
        <v>15201.240976651397</v>
      </c>
      <c r="M97" s="185">
        <f t="shared" si="94"/>
        <v>15657.278205950939</v>
      </c>
      <c r="N97" s="185">
        <f t="shared" si="94"/>
        <v>16126.996552129467</v>
      </c>
    </row>
    <row r="98" spans="1:14" ht="13.15">
      <c r="A98" s="73"/>
      <c r="C98" s="176" t="str">
        <f>+Worksheet!C51</f>
        <v>Total Operating Expenses</v>
      </c>
      <c r="D98" s="187">
        <f>+SUM(D79:D97)</f>
        <v>96334.7935</v>
      </c>
      <c r="E98" s="187">
        <f t="shared" ref="E98:N98" si="95">+SUM(E79:E97)</f>
        <v>100712.88</v>
      </c>
      <c r="F98" s="187">
        <f t="shared" si="95"/>
        <v>104066.991822</v>
      </c>
      <c r="G98" s="187">
        <f t="shared" si="95"/>
        <v>106334.12288968642</v>
      </c>
      <c r="H98" s="187">
        <f t="shared" si="95"/>
        <v>108651.6451362474</v>
      </c>
      <c r="I98" s="187">
        <f t="shared" si="95"/>
        <v>111020.70680271467</v>
      </c>
      <c r="J98" s="187">
        <f t="shared" si="95"/>
        <v>113442.4830754188</v>
      </c>
      <c r="K98" s="187">
        <f t="shared" ca="1" si="95"/>
        <v>117275.01811877388</v>
      </c>
      <c r="L98" s="187">
        <f t="shared" ca="1" si="95"/>
        <v>119834.38103354839</v>
      </c>
      <c r="M98" s="187">
        <f t="shared" ca="1" si="95"/>
        <v>122450.75190954715</v>
      </c>
      <c r="N98" s="187">
        <f t="shared" ca="1" si="95"/>
        <v>125125.43301653261</v>
      </c>
    </row>
    <row r="99" spans="1:14">
      <c r="A99" s="73"/>
      <c r="C99" s="56"/>
      <c r="D99" s="185"/>
      <c r="E99" s="185"/>
      <c r="F99" s="185"/>
      <c r="G99" s="185"/>
      <c r="H99" s="185"/>
      <c r="I99" s="185"/>
      <c r="J99" s="185"/>
      <c r="K99" s="185"/>
      <c r="L99" s="185"/>
      <c r="M99" s="185"/>
      <c r="N99" s="185"/>
    </row>
    <row r="100" spans="1:14" ht="13.5" thickBot="1">
      <c r="A100" s="73"/>
      <c r="C100" s="257" t="str">
        <f>+Worksheet!C53</f>
        <v>Net Operating Income</v>
      </c>
      <c r="D100" s="189">
        <f>+D76-D98</f>
        <v>270350.12525000004</v>
      </c>
      <c r="E100" s="189">
        <f t="shared" ref="E100:N100" si="96">+E76-E98</f>
        <v>301746.87</v>
      </c>
      <c r="F100" s="189">
        <f t="shared" si="96"/>
        <v>320929.140678</v>
      </c>
      <c r="G100" s="189">
        <f t="shared" si="96"/>
        <v>327161.93226031354</v>
      </c>
      <c r="H100" s="189">
        <f t="shared" si="96"/>
        <v>333514.33111675258</v>
      </c>
      <c r="I100" s="189">
        <f t="shared" si="96"/>
        <v>339988.58897534537</v>
      </c>
      <c r="J100" s="189">
        <f t="shared" si="96"/>
        <v>346586.9986182024</v>
      </c>
      <c r="K100" s="189">
        <f t="shared" ca="1" si="96"/>
        <v>351955.05320871971</v>
      </c>
      <c r="L100" s="189">
        <f t="shared" ca="1" si="96"/>
        <v>358780.29172049515</v>
      </c>
      <c r="M100" s="189">
        <f t="shared" ca="1" si="96"/>
        <v>365736.21429957729</v>
      </c>
      <c r="N100" s="189">
        <f t="shared" ca="1" si="96"/>
        <v>372825.27251677442</v>
      </c>
    </row>
    <row r="101" spans="1:14">
      <c r="A101" s="73"/>
      <c r="C101" s="56"/>
      <c r="D101" s="188"/>
      <c r="E101" s="188"/>
      <c r="F101" s="188"/>
      <c r="G101" s="188"/>
      <c r="H101" s="188"/>
      <c r="I101" s="188"/>
      <c r="J101" s="188"/>
      <c r="K101" s="188"/>
      <c r="L101" s="188"/>
      <c r="M101" s="188"/>
      <c r="N101" s="188"/>
    </row>
    <row r="102" spans="1:14" ht="13.15">
      <c r="A102" s="73"/>
      <c r="C102" s="175" t="s">
        <v>312</v>
      </c>
      <c r="D102" s="188"/>
      <c r="E102" s="188"/>
      <c r="F102" s="188"/>
      <c r="G102" s="188"/>
      <c r="H102" s="188"/>
      <c r="I102" s="188"/>
      <c r="J102" s="188"/>
      <c r="K102" s="188"/>
      <c r="L102" s="188"/>
      <c r="M102" s="188"/>
      <c r="N102" s="188"/>
    </row>
    <row r="103" spans="1:14">
      <c r="A103" s="73"/>
      <c r="C103" s="162">
        <f t="shared" ref="C103:C106" si="97">+C104-0.25%</f>
        <v>4.7499999999999987E-2</v>
      </c>
      <c r="D103" s="192">
        <f>+D$100/$C103</f>
        <v>5691581.584210529</v>
      </c>
      <c r="E103" s="192">
        <f t="shared" ref="E103:N113" si="98">+E$100/$C103</f>
        <v>6352565.6842105277</v>
      </c>
      <c r="F103" s="192">
        <f t="shared" si="98"/>
        <v>6756402.961642107</v>
      </c>
      <c r="G103" s="192">
        <f t="shared" si="98"/>
        <v>6887619.6265329188</v>
      </c>
      <c r="H103" s="192">
        <f t="shared" si="98"/>
        <v>7021354.339300056</v>
      </c>
      <c r="I103" s="192">
        <f t="shared" si="98"/>
        <v>7157654.5047441153</v>
      </c>
      <c r="J103" s="192">
        <f t="shared" si="98"/>
        <v>7296568.3919621576</v>
      </c>
      <c r="K103" s="192">
        <f t="shared" ca="1" si="98"/>
        <v>7409580.0675519956</v>
      </c>
      <c r="L103" s="192">
        <f t="shared" ca="1" si="98"/>
        <v>7553269.2993788477</v>
      </c>
      <c r="M103" s="192">
        <f t="shared" ca="1" si="98"/>
        <v>7699709.7747279452</v>
      </c>
      <c r="N103" s="192">
        <f t="shared" ca="1" si="98"/>
        <v>7848953.105616306</v>
      </c>
    </row>
    <row r="104" spans="1:14">
      <c r="A104" s="73"/>
      <c r="C104" s="162">
        <f t="shared" si="97"/>
        <v>4.9999999999999989E-2</v>
      </c>
      <c r="D104" s="192">
        <f t="shared" ref="D104:D113" si="99">+D$100/$C104</f>
        <v>5407002.5050000018</v>
      </c>
      <c r="E104" s="192">
        <f t="shared" si="98"/>
        <v>6034937.4000000013</v>
      </c>
      <c r="F104" s="192">
        <f t="shared" si="98"/>
        <v>6418582.8135600016</v>
      </c>
      <c r="G104" s="192">
        <f t="shared" si="98"/>
        <v>6543238.6452062726</v>
      </c>
      <c r="H104" s="192">
        <f t="shared" si="98"/>
        <v>6670286.622335053</v>
      </c>
      <c r="I104" s="192">
        <f t="shared" si="98"/>
        <v>6799771.7795069087</v>
      </c>
      <c r="J104" s="192">
        <f t="shared" si="98"/>
        <v>6931739.9723640494</v>
      </c>
      <c r="K104" s="192">
        <f t="shared" ca="1" si="98"/>
        <v>7039101.064174396</v>
      </c>
      <c r="L104" s="192">
        <f t="shared" ca="1" si="98"/>
        <v>7175605.8344099047</v>
      </c>
      <c r="M104" s="192">
        <f t="shared" ca="1" si="98"/>
        <v>7314724.2859915476</v>
      </c>
      <c r="N104" s="192">
        <f t="shared" ca="1" si="98"/>
        <v>7456505.4503354905</v>
      </c>
    </row>
    <row r="105" spans="1:14">
      <c r="A105" s="73"/>
      <c r="C105" s="162">
        <f t="shared" si="97"/>
        <v>5.2499999999999991E-2</v>
      </c>
      <c r="D105" s="192">
        <f t="shared" si="99"/>
        <v>5149526.1952380966</v>
      </c>
      <c r="E105" s="192">
        <f t="shared" si="98"/>
        <v>5747559.4285714291</v>
      </c>
      <c r="F105" s="192">
        <f t="shared" si="98"/>
        <v>6112936.0129142869</v>
      </c>
      <c r="G105" s="192">
        <f t="shared" si="98"/>
        <v>6231655.8525774013</v>
      </c>
      <c r="H105" s="192">
        <f t="shared" si="98"/>
        <v>6352653.9260333832</v>
      </c>
      <c r="I105" s="192">
        <f t="shared" si="98"/>
        <v>6475973.1233399129</v>
      </c>
      <c r="J105" s="192">
        <f t="shared" si="98"/>
        <v>6601657.11653719</v>
      </c>
      <c r="K105" s="192">
        <f t="shared" ca="1" si="98"/>
        <v>6703905.775404186</v>
      </c>
      <c r="L105" s="192">
        <f t="shared" ca="1" si="98"/>
        <v>6833910.3184856232</v>
      </c>
      <c r="M105" s="192">
        <f t="shared" ca="1" si="98"/>
        <v>6966404.0818967111</v>
      </c>
      <c r="N105" s="192">
        <f t="shared" ca="1" si="98"/>
        <v>7101433.7622242756</v>
      </c>
    </row>
    <row r="106" spans="1:14">
      <c r="A106" s="73"/>
      <c r="C106" s="162">
        <f t="shared" si="97"/>
        <v>5.4999999999999993E-2</v>
      </c>
      <c r="D106" s="192">
        <f t="shared" si="99"/>
        <v>4915456.8227272741</v>
      </c>
      <c r="E106" s="192">
        <f t="shared" si="98"/>
        <v>5486306.7272727275</v>
      </c>
      <c r="F106" s="192">
        <f t="shared" si="98"/>
        <v>5835075.2850545458</v>
      </c>
      <c r="G106" s="192">
        <f t="shared" si="98"/>
        <v>5948398.7683693375</v>
      </c>
      <c r="H106" s="192">
        <f t="shared" si="98"/>
        <v>6063896.9293955024</v>
      </c>
      <c r="I106" s="192">
        <f t="shared" si="98"/>
        <v>6181610.7086426439</v>
      </c>
      <c r="J106" s="192">
        <f t="shared" si="98"/>
        <v>6301581.7930582259</v>
      </c>
      <c r="K106" s="192">
        <f t="shared" ca="1" si="98"/>
        <v>6399182.7856130861</v>
      </c>
      <c r="L106" s="192">
        <f t="shared" ca="1" si="98"/>
        <v>6523278.0312817311</v>
      </c>
      <c r="M106" s="192">
        <f t="shared" ca="1" si="98"/>
        <v>6649749.3509014063</v>
      </c>
      <c r="N106" s="192">
        <f t="shared" ca="1" si="98"/>
        <v>6778641.3184868088</v>
      </c>
    </row>
    <row r="107" spans="1:14" ht="13.15" thickBot="1">
      <c r="A107" s="73"/>
      <c r="C107" s="307">
        <f>+C108-0.25%</f>
        <v>5.7499999999999996E-2</v>
      </c>
      <c r="D107" s="306">
        <f t="shared" si="99"/>
        <v>4701741.3086956535</v>
      </c>
      <c r="E107" s="306">
        <f t="shared" si="98"/>
        <v>5247771.6521739131</v>
      </c>
      <c r="F107" s="306">
        <f t="shared" si="98"/>
        <v>5581376.3596173916</v>
      </c>
      <c r="G107" s="306">
        <f t="shared" si="98"/>
        <v>5689772.7349619754</v>
      </c>
      <c r="H107" s="306">
        <f t="shared" si="98"/>
        <v>5800249.2368130889</v>
      </c>
      <c r="I107" s="306">
        <f t="shared" si="98"/>
        <v>5912845.0256581809</v>
      </c>
      <c r="J107" s="306">
        <f t="shared" si="98"/>
        <v>6027599.9759687381</v>
      </c>
      <c r="K107" s="306">
        <f t="shared" ca="1" si="98"/>
        <v>6120957.4471081691</v>
      </c>
      <c r="L107" s="306">
        <f t="shared" ca="1" si="98"/>
        <v>6239657.2473129593</v>
      </c>
      <c r="M107" s="306">
        <f t="shared" ca="1" si="98"/>
        <v>6360629.8139056927</v>
      </c>
      <c r="N107" s="306">
        <f t="shared" ca="1" si="98"/>
        <v>6483917.7829004256</v>
      </c>
    </row>
    <row r="108" spans="1:14" ht="13.15" thickBot="1">
      <c r="A108" s="73"/>
      <c r="C108" s="308">
        <f>+ExitCap</f>
        <v>0.06</v>
      </c>
      <c r="D108" s="309">
        <f t="shared" si="99"/>
        <v>4505835.4208333343</v>
      </c>
      <c r="E108" s="309">
        <f t="shared" si="98"/>
        <v>5029114.5</v>
      </c>
      <c r="F108" s="309">
        <f t="shared" si="98"/>
        <v>5348819.0113000004</v>
      </c>
      <c r="G108" s="309">
        <f t="shared" si="98"/>
        <v>5452698.8710052259</v>
      </c>
      <c r="H108" s="309">
        <f t="shared" si="98"/>
        <v>5558572.1852792101</v>
      </c>
      <c r="I108" s="309">
        <f t="shared" si="98"/>
        <v>5666476.4829224227</v>
      </c>
      <c r="J108" s="309">
        <f t="shared" si="98"/>
        <v>5776449.9769700402</v>
      </c>
      <c r="K108" s="309">
        <f t="shared" ca="1" si="98"/>
        <v>5865917.5534786619</v>
      </c>
      <c r="L108" s="309">
        <f t="shared" ca="1" si="98"/>
        <v>5979671.5286749192</v>
      </c>
      <c r="M108" s="309">
        <f t="shared" ca="1" si="98"/>
        <v>6095603.5716596218</v>
      </c>
      <c r="N108" s="309">
        <f t="shared" ca="1" si="98"/>
        <v>6213754.5419462407</v>
      </c>
    </row>
    <row r="109" spans="1:14">
      <c r="A109" s="73"/>
      <c r="C109" s="162">
        <f>+C108+0.25%</f>
        <v>6.25E-2</v>
      </c>
      <c r="D109" s="192">
        <f t="shared" si="99"/>
        <v>4325602.0040000007</v>
      </c>
      <c r="E109" s="192">
        <f t="shared" si="98"/>
        <v>4827949.92</v>
      </c>
      <c r="F109" s="192">
        <f t="shared" si="98"/>
        <v>5134866.2508479999</v>
      </c>
      <c r="G109" s="192">
        <f t="shared" si="98"/>
        <v>5234590.9161650166</v>
      </c>
      <c r="H109" s="192">
        <f t="shared" si="98"/>
        <v>5336229.2978680413</v>
      </c>
      <c r="I109" s="192">
        <f t="shared" si="98"/>
        <v>5439817.4236055259</v>
      </c>
      <c r="J109" s="192">
        <f t="shared" si="98"/>
        <v>5545391.9778912384</v>
      </c>
      <c r="K109" s="192">
        <f t="shared" ca="1" si="98"/>
        <v>5631280.8513395153</v>
      </c>
      <c r="L109" s="192">
        <f t="shared" ca="1" si="98"/>
        <v>5740484.6675279224</v>
      </c>
      <c r="M109" s="192">
        <f t="shared" ca="1" si="98"/>
        <v>5851779.4287932366</v>
      </c>
      <c r="N109" s="192">
        <f t="shared" ca="1" si="98"/>
        <v>5965204.3602683907</v>
      </c>
    </row>
    <row r="110" spans="1:14">
      <c r="A110" s="73"/>
      <c r="C110" s="162">
        <f t="shared" ref="C110:C113" si="100">+C109+0.25%</f>
        <v>6.5000000000000002E-2</v>
      </c>
      <c r="D110" s="192">
        <f t="shared" si="99"/>
        <v>4159232.6961538466</v>
      </c>
      <c r="E110" s="192">
        <f t="shared" si="98"/>
        <v>4642259.538461538</v>
      </c>
      <c r="F110" s="192">
        <f t="shared" si="98"/>
        <v>4937371.395046154</v>
      </c>
      <c r="G110" s="192">
        <f t="shared" si="98"/>
        <v>5033260.4963125158</v>
      </c>
      <c r="H110" s="192">
        <f t="shared" si="98"/>
        <v>5130989.7094885008</v>
      </c>
      <c r="I110" s="192">
        <f t="shared" si="98"/>
        <v>5230593.676543775</v>
      </c>
      <c r="J110" s="192">
        <f t="shared" si="98"/>
        <v>5332107.6710492671</v>
      </c>
      <c r="K110" s="192">
        <f t="shared" ca="1" si="98"/>
        <v>5414693.1262879949</v>
      </c>
      <c r="L110" s="192">
        <f t="shared" ca="1" si="98"/>
        <v>5519696.7956999252</v>
      </c>
      <c r="M110" s="192">
        <f t="shared" ca="1" si="98"/>
        <v>5626710.9892242653</v>
      </c>
      <c r="N110" s="192">
        <f t="shared" ca="1" si="98"/>
        <v>5735773.4233349906</v>
      </c>
    </row>
    <row r="111" spans="1:14">
      <c r="A111" s="73"/>
      <c r="C111" s="162">
        <f t="shared" si="100"/>
        <v>6.7500000000000004E-2</v>
      </c>
      <c r="D111" s="192">
        <f t="shared" si="99"/>
        <v>4005187.040740741</v>
      </c>
      <c r="E111" s="192">
        <f t="shared" si="98"/>
        <v>4470324</v>
      </c>
      <c r="F111" s="192">
        <f t="shared" si="98"/>
        <v>4754505.7878222214</v>
      </c>
      <c r="G111" s="192">
        <f t="shared" si="98"/>
        <v>4846843.4408935336</v>
      </c>
      <c r="H111" s="192">
        <f t="shared" si="98"/>
        <v>4940953.0535815191</v>
      </c>
      <c r="I111" s="192">
        <f t="shared" si="98"/>
        <v>5036867.984819931</v>
      </c>
      <c r="J111" s="192">
        <f t="shared" si="98"/>
        <v>5134622.2017511465</v>
      </c>
      <c r="K111" s="192">
        <f t="shared" ca="1" si="98"/>
        <v>5214148.9364254763</v>
      </c>
      <c r="L111" s="192">
        <f t="shared" ca="1" si="98"/>
        <v>5315263.5810443722</v>
      </c>
      <c r="M111" s="192">
        <f t="shared" ca="1" si="98"/>
        <v>5418314.2859196635</v>
      </c>
      <c r="N111" s="192">
        <f t="shared" ca="1" si="98"/>
        <v>5523337.3706188798</v>
      </c>
    </row>
    <row r="112" spans="1:14">
      <c r="A112" s="73"/>
      <c r="C112" s="162">
        <f t="shared" si="100"/>
        <v>7.0000000000000007E-2</v>
      </c>
      <c r="D112" s="192">
        <f t="shared" si="99"/>
        <v>3862144.6464285715</v>
      </c>
      <c r="E112" s="192">
        <f t="shared" si="98"/>
        <v>4310669.5714285709</v>
      </c>
      <c r="F112" s="192">
        <f t="shared" si="98"/>
        <v>4584702.0096857138</v>
      </c>
      <c r="G112" s="192">
        <f t="shared" si="98"/>
        <v>4673741.8894330505</v>
      </c>
      <c r="H112" s="192">
        <f t="shared" si="98"/>
        <v>4764490.444525036</v>
      </c>
      <c r="I112" s="192">
        <f t="shared" si="98"/>
        <v>4856979.8425049335</v>
      </c>
      <c r="J112" s="192">
        <f t="shared" si="98"/>
        <v>4951242.8374028914</v>
      </c>
      <c r="K112" s="192">
        <f t="shared" ca="1" si="98"/>
        <v>5027929.3315531379</v>
      </c>
      <c r="L112" s="192">
        <f t="shared" ca="1" si="98"/>
        <v>5125432.738864216</v>
      </c>
      <c r="M112" s="192">
        <f t="shared" ca="1" si="98"/>
        <v>5224803.0614225324</v>
      </c>
      <c r="N112" s="192">
        <f t="shared" ca="1" si="98"/>
        <v>5326075.3216682058</v>
      </c>
    </row>
    <row r="113" spans="1:14">
      <c r="A113" s="73"/>
      <c r="C113" s="162">
        <f t="shared" si="100"/>
        <v>7.2500000000000009E-2</v>
      </c>
      <c r="D113" s="192">
        <f t="shared" si="99"/>
        <v>3728967.2448275862</v>
      </c>
      <c r="E113" s="192">
        <f t="shared" si="98"/>
        <v>4162025.7931034476</v>
      </c>
      <c r="F113" s="192">
        <f t="shared" si="98"/>
        <v>4426608.8369379304</v>
      </c>
      <c r="G113" s="192">
        <f t="shared" si="98"/>
        <v>4512578.3760043243</v>
      </c>
      <c r="H113" s="192">
        <f t="shared" si="98"/>
        <v>4600197.6705758972</v>
      </c>
      <c r="I113" s="192">
        <f t="shared" si="98"/>
        <v>4689497.7789702807</v>
      </c>
      <c r="J113" s="192">
        <f t="shared" si="98"/>
        <v>4780510.3257683087</v>
      </c>
      <c r="K113" s="192">
        <f t="shared" ca="1" si="98"/>
        <v>4854552.4580513053</v>
      </c>
      <c r="L113" s="192">
        <f t="shared" ca="1" si="98"/>
        <v>4948693.6789033804</v>
      </c>
      <c r="M113" s="192">
        <f t="shared" ca="1" si="98"/>
        <v>5044637.4386148583</v>
      </c>
      <c r="N113" s="192">
        <f t="shared" ca="1" si="98"/>
        <v>5142417.551955509</v>
      </c>
    </row>
    <row r="114" spans="1:14">
      <c r="A114" s="73"/>
      <c r="C114" s="162"/>
      <c r="D114" s="188"/>
      <c r="E114" s="188"/>
      <c r="F114" s="188"/>
      <c r="G114" s="188"/>
      <c r="H114" s="188"/>
      <c r="I114" s="188"/>
      <c r="J114" s="188"/>
      <c r="K114" s="188"/>
      <c r="L114" s="188"/>
      <c r="M114" s="188"/>
      <c r="N114" s="188"/>
    </row>
    <row r="115" spans="1:14" ht="13.15">
      <c r="A115" s="73"/>
      <c r="C115" s="175" t="s">
        <v>233</v>
      </c>
      <c r="D115" s="502">
        <f ca="1">+LOOKUP(D$4,Waterfall!$H$3:$Z$3,Waterfall!$H$56:$Z$56)</f>
        <v>2.6437279088220442E-2</v>
      </c>
      <c r="E115" s="502">
        <f ca="1">+LOOKUP(E$4,Waterfall!$H$3:$Z$3,Waterfall!$H$56:$Z$56)</f>
        <v>4.9085335064560337E-2</v>
      </c>
      <c r="F115" s="502">
        <f ca="1">+LOOKUP(F$4,Waterfall!$H$3:$Z$3,Waterfall!$H$56:$Z$56)</f>
        <v>6.2922166919137268E-2</v>
      </c>
      <c r="G115" s="502">
        <f ca="1">+LOOKUP(G$4,Waterfall!$H$3:$Z$3,Waterfall!$H$56:$Z$56)</f>
        <v>6.7418307725600521E-2</v>
      </c>
      <c r="H115" s="502">
        <f ca="1">+LOOKUP(H$4,Waterfall!$H$3:$Z$3,Waterfall!$H$56:$Z$56)</f>
        <v>7.2000288537834523E-2</v>
      </c>
      <c r="I115" s="502">
        <f ca="1">+LOOKUP(I$4,Waterfall!$H$3:$Z$3,Waterfall!$H$56:$Z$56)</f>
        <v>7.6670994734184525E-2</v>
      </c>
      <c r="J115" s="502">
        <f ca="1">+LOOKUP(J$4,Waterfall!$H$3:$Z$3,Waterfall!$H$56:$Z$56)</f>
        <v>8.1430426314650514E-2</v>
      </c>
      <c r="K115" s="502" t="str">
        <f>+LOOKUP(K$4,Waterfall!$H$3:$Z$3,Waterfall!$H$56:$Z$56)</f>
        <v>-</v>
      </c>
      <c r="L115" s="502" t="str">
        <f>+LOOKUP(L$4,Waterfall!$H$3:$Z$3,Waterfall!$H$56:$Z$56)</f>
        <v>-</v>
      </c>
      <c r="M115" s="502" t="str">
        <f>+LOOKUP(M$4,Waterfall!$H$3:$Z$3,Waterfall!$H$56:$Z$56)</f>
        <v>-</v>
      </c>
      <c r="N115" s="502" t="str">
        <f>+LOOKUP(N$4,Waterfall!$H$3:$Z$3,Waterfall!$H$56:$Z$56)</f>
        <v>-</v>
      </c>
    </row>
    <row r="116" spans="1:14" ht="13.15">
      <c r="A116" s="73"/>
      <c r="C116" s="1" t="s">
        <v>434</v>
      </c>
      <c r="D116" s="501">
        <f ca="1">+(D98-SUM(SUMIFS(Waterfall!$H$33:$Z$33,Waterfall!$H$3:$Z$3,Cashflow!D$4),SUMIFS(Waterfall!$H$34:$Z$34,Waterfall!$H$3:$Z$3,Cashflow!D$4),SUMIFS(Waterfall!$H$39:$Z$39,Waterfall!$H$3:$Z$3,Cashflow!D$4),SUMIFS(Waterfall!$H$40:$Z$40,Waterfall!$H$3:$Z$3,Cashflow!D$4),SUMIFS(Waterfall!$H$45:$Z$45,Waterfall!$H$3:$Z$3,Cashflow!D$4),SUMIFS(Waterfall!$H$46:$Z$46,Waterfall!$H$3:$Z$3,Cashflow!D$4)))/D$55</f>
        <v>0.79610017770475272</v>
      </c>
      <c r="E116" s="501">
        <f ca="1">+(E98-SUM(SUMIFS(Waterfall!$H$33:$Z$33,Waterfall!$H$3:$Z$3,Cashflow!E$4),SUMIFS(Waterfall!$H$34:$Z$34,Waterfall!$H$3:$Z$3,Cashflow!E$4),SUMIFS(Waterfall!$H$39:$Z$39,Waterfall!$H$3:$Z$3,Cashflow!E$4),SUMIFS(Waterfall!$H$40:$Z$40,Waterfall!$H$3:$Z$3,Cashflow!E$4),SUMIFS(Waterfall!$H$45:$Z$45,Waterfall!$H$3:$Z$3,Cashflow!E$4),SUMIFS(Waterfall!$H$46:$Z$46,Waterfall!$H$3:$Z$3,Cashflow!E$4)))/E$55</f>
        <v>0.73504966092756019</v>
      </c>
      <c r="F116" s="501">
        <f ca="1">+(F98-SUM(SUMIFS(Waterfall!$H$33:$Z$33,Waterfall!$H$3:$Z$3,Cashflow!F$4),SUMIFS(Waterfall!$H$34:$Z$34,Waterfall!$H$3:$Z$3,Cashflow!F$4),SUMIFS(Waterfall!$H$39:$Z$39,Waterfall!$H$3:$Z$3,Cashflow!F$4),SUMIFS(Waterfall!$H$40:$Z$40,Waterfall!$H$3:$Z$3,Cashflow!F$4),SUMIFS(Waterfall!$H$45:$Z$45,Waterfall!$H$3:$Z$3,Cashflow!F$4),SUMIFS(Waterfall!$H$46:$Z$46,Waterfall!$H$3:$Z$3,Cashflow!F$4)))/F$55</f>
        <v>0.70347083124954257</v>
      </c>
      <c r="G116" s="501">
        <f ca="1">+(G98-SUM(SUMIFS(Waterfall!$H$33:$Z$33,Waterfall!$H$3:$Z$3,Cashflow!G$4),SUMIFS(Waterfall!$H$34:$Z$34,Waterfall!$H$3:$Z$3,Cashflow!G$4),SUMIFS(Waterfall!$H$39:$Z$39,Waterfall!$H$3:$Z$3,Cashflow!G$4),SUMIFS(Waterfall!$H$40:$Z$40,Waterfall!$H$3:$Z$3,Cashflow!G$4),SUMIFS(Waterfall!$H$45:$Z$45,Waterfall!$H$3:$Z$3,Cashflow!G$4),SUMIFS(Waterfall!$H$46:$Z$46,Waterfall!$H$3:$Z$3,Cashflow!G$4)))/G$55</f>
        <v>0.6945802952679343</v>
      </c>
      <c r="H116" s="501">
        <f ca="1">+(H98-SUM(SUMIFS(Waterfall!$H$33:$Z$33,Waterfall!$H$3:$Z$3,Cashflow!H$4),SUMIFS(Waterfall!$H$34:$Z$34,Waterfall!$H$3:$Z$3,Cashflow!H$4),SUMIFS(Waterfall!$H$39:$Z$39,Waterfall!$H$3:$Z$3,Cashflow!H$4),SUMIFS(Waterfall!$H$40:$Z$40,Waterfall!$H$3:$Z$3,Cashflow!H$4),SUMIFS(Waterfall!$H$45:$Z$45,Waterfall!$H$3:$Z$3,Cashflow!H$4),SUMIFS(Waterfall!$H$46:$Z$46,Waterfall!$H$3:$Z$3,Cashflow!H$4)))/H$55</f>
        <v>0.68587478769781307</v>
      </c>
      <c r="I116" s="501">
        <f ca="1">+(I98-SUM(SUMIFS(Waterfall!$H$33:$Z$33,Waterfall!$H$3:$Z$3,Cashflow!I$4),SUMIFS(Waterfall!$H$34:$Z$34,Waterfall!$H$3:$Z$3,Cashflow!I$4),SUMIFS(Waterfall!$H$39:$Z$39,Waterfall!$H$3:$Z$3,Cashflow!I$4),SUMIFS(Waterfall!$H$40:$Z$40,Waterfall!$H$3:$Z$3,Cashflow!I$4),SUMIFS(Waterfall!$H$45:$Z$45,Waterfall!$H$3:$Z$3,Cashflow!I$4),SUMIFS(Waterfall!$H$46:$Z$46,Waterfall!$H$3:$Z$3,Cashflow!I$4)))/I$55</f>
        <v>0.67735076252700321</v>
      </c>
      <c r="J116" s="501">
        <f ca="1">+(J98-SUM(SUMIFS(Waterfall!$H$33:$Z$33,Waterfall!$H$3:$Z$3,Cashflow!J$4),SUMIFS(Waterfall!$H$34:$Z$34,Waterfall!$H$3:$Z$3,Cashflow!J$4),SUMIFS(Waterfall!$H$39:$Z$39,Waterfall!$H$3:$Z$3,Cashflow!J$4),SUMIFS(Waterfall!$H$40:$Z$40,Waterfall!$H$3:$Z$3,Cashflow!J$4),SUMIFS(Waterfall!$H$45:$Z$45,Waterfall!$H$3:$Z$3,Cashflow!J$4),SUMIFS(Waterfall!$H$46:$Z$46,Waterfall!$H$3:$Z$3,Cashflow!J$4)))/J$55</f>
        <v>0.66900474405391397</v>
      </c>
      <c r="K116" s="501">
        <f ca="1">+(K98-SUM(SUMIFS(Waterfall!$H$33:$Z$33,Waterfall!$H$3:$Z$3,Cashflow!K$4),SUMIFS(Waterfall!$H$34:$Z$34,Waterfall!$H$3:$Z$3,Cashflow!K$4),SUMIFS(Waterfall!$H$39:$Z$39,Waterfall!$H$3:$Z$3,Cashflow!K$4),SUMIFS(Waterfall!$H$40:$Z$40,Waterfall!$H$3:$Z$3,Cashflow!K$4),SUMIFS(Waterfall!$H$45:$Z$45,Waterfall!$H$3:$Z$3,Cashflow!K$4),SUMIFS(Waterfall!$H$46:$Z$46,Waterfall!$H$3:$Z$3,Cashflow!K$4)))/K$55</f>
        <v>0.23431006707499669</v>
      </c>
      <c r="L116" s="501">
        <f ca="1">+(L98-SUM(SUMIFS(Waterfall!$H$33:$Z$33,Waterfall!$H$3:$Z$3,Cashflow!L$4),SUMIFS(Waterfall!$H$34:$Z$34,Waterfall!$H$3:$Z$3,Cashflow!L$4),SUMIFS(Waterfall!$H$39:$Z$39,Waterfall!$H$3:$Z$3,Cashflow!L$4),SUMIFS(Waterfall!$H$40:$Z$40,Waterfall!$H$3:$Z$3,Cashflow!L$4),SUMIFS(Waterfall!$H$45:$Z$45,Waterfall!$H$3:$Z$3,Cashflow!L$4),SUMIFS(Waterfall!$H$46:$Z$46,Waterfall!$H$3:$Z$3,Cashflow!L$4)))/L$55</f>
        <v>0.23472897638615586</v>
      </c>
      <c r="M116" s="501">
        <f ca="1">+(M98-SUM(SUMIFS(Waterfall!$H$33:$Z$33,Waterfall!$H$3:$Z$3,Cashflow!M$4),SUMIFS(Waterfall!$H$34:$Z$34,Waterfall!$H$3:$Z$3,Cashflow!M$4),SUMIFS(Waterfall!$H$39:$Z$39,Waterfall!$H$3:$Z$3,Cashflow!M$4),SUMIFS(Waterfall!$H$40:$Z$40,Waterfall!$H$3:$Z$3,Cashflow!M$4),SUMIFS(Waterfall!$H$45:$Z$45,Waterfall!$H$3:$Z$3,Cashflow!M$4),SUMIFS(Waterfall!$H$46:$Z$46,Waterfall!$H$3:$Z$3,Cashflow!M$4)))/M$55</f>
        <v>0.23515084969725444</v>
      </c>
    </row>
    <row r="117" spans="1:14">
      <c r="A117" s="73"/>
    </row>
    <row r="118" spans="1:14">
      <c r="A118" s="73"/>
    </row>
    <row r="119" spans="1:14">
      <c r="A119" s="73"/>
    </row>
    <row r="120" spans="1:14">
      <c r="A120" s="73"/>
    </row>
    <row r="121" spans="1:14">
      <c r="A121" s="73"/>
    </row>
    <row r="122" spans="1:14">
      <c r="A122" s="73"/>
    </row>
    <row r="123" spans="1:14">
      <c r="A123" s="73"/>
    </row>
    <row r="124" spans="1:14">
      <c r="A124" s="73"/>
    </row>
    <row r="125" spans="1:14">
      <c r="A125" s="73"/>
    </row>
    <row r="126" spans="1:14">
      <c r="A126" s="73"/>
    </row>
  </sheetData>
  <mergeCells count="1">
    <mergeCell ref="P5:AA11"/>
  </mergeCells>
  <conditionalFormatting sqref="E30:N37 E39:N40 E13:N27 E42:N50 E7:N11">
    <cfRule type="expression" dxfId="4" priority="6">
      <formula>NOT(D7=E7)</formula>
    </cfRule>
  </conditionalFormatting>
  <conditionalFormatting sqref="E12:N12">
    <cfRule type="expression" dxfId="3" priority="3">
      <formula>NOT(D12=E12)</formula>
    </cfRule>
  </conditionalFormatting>
  <dataValidations disablePrompts="1" count="1">
    <dataValidation allowBlank="1" showInputMessage="1" showErrorMessage="1" promptTitle="Exit Cap:" prompt="Capitalization rates are applied to the following year's NOI to determine an exit value. Always check the exit price on a per unit and/or psf basis for reasonableness." sqref="C102" xr:uid="{00000000-0002-0000-0700-000000000000}"/>
  </dataValidations>
  <pageMargins left="0.7" right="0.7" top="0.75" bottom="0.75" header="0.3" footer="0.3"/>
  <pageSetup orientation="portrait" r:id="rId1"/>
  <headerFooter>
    <oddFooter>&amp;C&amp;"Copperplate Gothic Light,Bold"&amp;16&amp;K04-049Chavis Capital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AH113"/>
  <sheetViews>
    <sheetView showGridLines="0" zoomScale="85" zoomScaleNormal="85" workbookViewId="0">
      <pane xSplit="4" ySplit="4" topLeftCell="L45" activePane="bottomRight" state="frozen"/>
      <selection activeCell="G24" sqref="A1:XFD1048576"/>
      <selection pane="topRight" activeCell="G24" sqref="A1:XFD1048576"/>
      <selection pane="bottomLeft" activeCell="G24" sqref="A1:XFD1048576"/>
      <selection pane="bottomRight" activeCell="AF50" sqref="AF50"/>
    </sheetView>
  </sheetViews>
  <sheetFormatPr defaultRowHeight="12.75" outlineLevelRow="1" outlineLevelCol="1"/>
  <cols>
    <col min="1" max="1" width="5.265625" customWidth="1"/>
    <col min="2" max="2" width="0.6640625" customWidth="1"/>
    <col min="3" max="3" width="38.53125" bestFit="1" customWidth="1"/>
    <col min="4" max="4" width="40.06640625" bestFit="1" customWidth="1"/>
    <col min="5" max="5" width="1.46484375" customWidth="1"/>
    <col min="6" max="6" width="16.59765625" bestFit="1" customWidth="1"/>
    <col min="7" max="7" width="15.3984375" hidden="1" customWidth="1" outlineLevel="1"/>
    <col min="8" max="8" width="14.6640625" bestFit="1" customWidth="1" collapsed="1"/>
    <col min="9" max="9" width="24.3984375" hidden="1" customWidth="1" outlineLevel="1"/>
    <col min="10" max="10" width="14.6640625" bestFit="1" customWidth="1" collapsed="1"/>
    <col min="11" max="11" width="14.53125" hidden="1" customWidth="1" outlineLevel="1"/>
    <col min="12" max="12" width="14.6640625" bestFit="1" customWidth="1" collapsed="1"/>
    <col min="13" max="13" width="13.86328125" hidden="1" customWidth="1" outlineLevel="1"/>
    <col min="14" max="14" width="14.53125" bestFit="1" customWidth="1" collapsed="1"/>
    <col min="15" max="15" width="24.1328125" hidden="1" customWidth="1" outlineLevel="1"/>
    <col min="16" max="16" width="14.53125" bestFit="1" customWidth="1" collapsed="1"/>
    <col min="17" max="17" width="13.86328125" hidden="1" customWidth="1" outlineLevel="1"/>
    <col min="18" max="18" width="15" customWidth="1" collapsed="1"/>
    <col min="19" max="19" width="15" hidden="1" customWidth="1" outlineLevel="1"/>
    <col min="20" max="20" width="15" customWidth="1" collapsed="1"/>
    <col min="21" max="21" width="16.33203125" hidden="1" customWidth="1" outlineLevel="1"/>
    <col min="22" max="22" width="16.33203125" customWidth="1" collapsed="1"/>
    <col min="23" max="23" width="16.33203125" hidden="1" customWidth="1" outlineLevel="1"/>
    <col min="24" max="24" width="18.33203125" customWidth="1" collapsed="1"/>
    <col min="25" max="25" width="18.33203125" hidden="1" customWidth="1" outlineLevel="1"/>
    <col min="26" max="26" width="18.33203125" customWidth="1" collapsed="1"/>
    <col min="27" max="27" width="18.33203125" customWidth="1"/>
    <col min="28" max="28" width="1.46484375" customWidth="1"/>
    <col min="29" max="29" width="13.73046875" bestFit="1" customWidth="1"/>
    <col min="32" max="32" width="15.53125" bestFit="1" customWidth="1"/>
    <col min="33" max="33" width="11.59765625" bestFit="1" customWidth="1"/>
    <col min="34" max="34" width="10" bestFit="1" customWidth="1"/>
    <col min="37" max="37" width="16.06640625" bestFit="1" customWidth="1"/>
    <col min="38" max="38" width="11.33203125" bestFit="1" customWidth="1"/>
    <col min="39" max="39" width="9.73046875" bestFit="1" customWidth="1"/>
    <col min="40" max="40" width="8.19921875" bestFit="1" customWidth="1"/>
  </cols>
  <sheetData>
    <row r="1" spans="1:34" ht="35.65" thickBot="1">
      <c r="A1" s="112" t="str">
        <f ca="1">MID(CELL("filename",A1),FIND("]",CELL("filename",A1))+1,255)</f>
        <v>Waterfall</v>
      </c>
      <c r="B1" s="2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409">
        <f>+Name</f>
        <v>0</v>
      </c>
    </row>
    <row r="2" spans="1:34" ht="3.75" customHeight="1" thickBot="1">
      <c r="A2" s="210"/>
      <c r="B2" s="214"/>
      <c r="C2" s="211"/>
      <c r="D2" s="211"/>
      <c r="E2" s="212"/>
      <c r="F2" s="212"/>
      <c r="G2" s="211"/>
      <c r="H2" s="211"/>
      <c r="I2" s="211"/>
      <c r="J2" s="211"/>
      <c r="K2" s="211"/>
      <c r="L2" s="211"/>
      <c r="M2" s="211"/>
      <c r="N2" s="211"/>
      <c r="O2" s="211"/>
      <c r="P2" s="211"/>
      <c r="Q2" s="211"/>
      <c r="R2" s="211"/>
      <c r="S2" s="211"/>
      <c r="T2" s="211"/>
      <c r="U2" s="211"/>
      <c r="V2" s="211"/>
      <c r="W2" s="211"/>
      <c r="X2" s="211"/>
      <c r="Y2" s="211"/>
      <c r="Z2" s="211"/>
      <c r="AA2" s="211"/>
      <c r="AB2" s="212"/>
      <c r="AC2" s="211"/>
      <c r="AD2" s="122"/>
    </row>
    <row r="3" spans="1:34" ht="18" thickBot="1">
      <c r="A3" s="115"/>
      <c r="B3" s="215"/>
      <c r="C3" s="218" t="s">
        <v>70</v>
      </c>
      <c r="D3" s="96" t="s">
        <v>56</v>
      </c>
      <c r="E3" s="116"/>
      <c r="F3" s="496">
        <v>0</v>
      </c>
      <c r="G3" s="219">
        <f>+H3-0.5</f>
        <v>0.5</v>
      </c>
      <c r="H3" s="220">
        <f>+Cashflow!D4</f>
        <v>1</v>
      </c>
      <c r="I3" s="219">
        <f>+H3+0.5</f>
        <v>1.5</v>
      </c>
      <c r="J3" s="220">
        <f>+Cashflow!E4</f>
        <v>2</v>
      </c>
      <c r="K3" s="219">
        <f>+J3+0.5</f>
        <v>2.5</v>
      </c>
      <c r="L3" s="220">
        <f>+Cashflow!F4</f>
        <v>3</v>
      </c>
      <c r="M3" s="219">
        <f>+L3+0.5</f>
        <v>3.5</v>
      </c>
      <c r="N3" s="220">
        <f>+Cashflow!G4</f>
        <v>4</v>
      </c>
      <c r="O3" s="219">
        <f>+N3+0.5</f>
        <v>4.5</v>
      </c>
      <c r="P3" s="220">
        <f>+Cashflow!H4</f>
        <v>5</v>
      </c>
      <c r="Q3" s="219">
        <f>+P3+0.5</f>
        <v>5.5</v>
      </c>
      <c r="R3" s="220">
        <f>+Cashflow!I4</f>
        <v>6</v>
      </c>
      <c r="S3" s="219">
        <f>+R3+0.5</f>
        <v>6.5</v>
      </c>
      <c r="T3" s="220">
        <f>+Cashflow!J4</f>
        <v>7</v>
      </c>
      <c r="U3" s="219">
        <f>+T3+0.5</f>
        <v>7.5</v>
      </c>
      <c r="V3" s="220">
        <f>+Cashflow!K4</f>
        <v>8</v>
      </c>
      <c r="W3" s="219">
        <f>+V3+0.5</f>
        <v>8.5</v>
      </c>
      <c r="X3" s="220">
        <f>+Cashflow!L4</f>
        <v>9</v>
      </c>
      <c r="Y3" s="219">
        <f>+X3+0.5</f>
        <v>9.5</v>
      </c>
      <c r="Z3" s="220">
        <f>+Cashflow!M4</f>
        <v>10</v>
      </c>
      <c r="AA3" s="310" t="s">
        <v>50</v>
      </c>
      <c r="AB3" s="217"/>
      <c r="AC3" s="94"/>
      <c r="AD3" s="117"/>
      <c r="AE3" s="16"/>
      <c r="AF3" s="16"/>
      <c r="AG3" s="16"/>
      <c r="AH3" s="16"/>
    </row>
    <row r="4" spans="1:34" ht="17.649999999999999">
      <c r="A4" s="115"/>
      <c r="B4" s="215"/>
      <c r="C4" s="283">
        <v>7</v>
      </c>
      <c r="D4" s="251">
        <f>+P</f>
        <v>5000000</v>
      </c>
      <c r="E4" s="118"/>
      <c r="F4" s="221">
        <f ca="1">+CDate</f>
        <v>44409</v>
      </c>
      <c r="G4" s="222">
        <f ca="1">+EDATE(F4,3)</f>
        <v>44501</v>
      </c>
      <c r="H4" s="222">
        <f ca="1">+Cashflow!D5</f>
        <v>44592</v>
      </c>
      <c r="I4" s="222">
        <f ca="1">+EDATE(H4,6)</f>
        <v>44773</v>
      </c>
      <c r="J4" s="222">
        <f ca="1">+Cashflow!E5</f>
        <v>44957</v>
      </c>
      <c r="K4" s="222">
        <f ca="1">+EDATE(J4,6)</f>
        <v>45138</v>
      </c>
      <c r="L4" s="222">
        <f ca="1">+Cashflow!F5</f>
        <v>45322</v>
      </c>
      <c r="M4" s="222">
        <f ca="1">+EDATE(L4,6)</f>
        <v>45504</v>
      </c>
      <c r="N4" s="222">
        <f ca="1">+Cashflow!G5</f>
        <v>45688</v>
      </c>
      <c r="O4" s="222">
        <f ca="1">+EDATE(N4,6)</f>
        <v>45869</v>
      </c>
      <c r="P4" s="222">
        <f ca="1">+Cashflow!H5</f>
        <v>46053</v>
      </c>
      <c r="Q4" s="222">
        <f ca="1">+EDATE(P4,6)</f>
        <v>46234</v>
      </c>
      <c r="R4" s="222">
        <f ca="1">+Cashflow!I5</f>
        <v>46418</v>
      </c>
      <c r="S4" s="222">
        <f ca="1">+EDATE(R4,6)</f>
        <v>46599</v>
      </c>
      <c r="T4" s="222">
        <f ca="1">+Cashflow!J5</f>
        <v>46783</v>
      </c>
      <c r="U4" s="222">
        <f ca="1">+EDATE(T4,6)</f>
        <v>46965</v>
      </c>
      <c r="V4" s="222">
        <f ca="1">+Cashflow!K5</f>
        <v>47149</v>
      </c>
      <c r="W4" s="222">
        <f ca="1">+EDATE(V4,6)</f>
        <v>47330</v>
      </c>
      <c r="X4" s="222">
        <f ca="1">+Cashflow!L5</f>
        <v>47514</v>
      </c>
      <c r="Y4" s="222">
        <f ca="1">+EDATE(X4,6)</f>
        <v>47695</v>
      </c>
      <c r="Z4" s="222">
        <f ca="1">+Cashflow!M5</f>
        <v>47879</v>
      </c>
      <c r="AA4" s="311">
        <f ca="1">EDATE(LOOKUP(H,G3:Z3,G4:Z4),6)</f>
        <v>46965</v>
      </c>
      <c r="AB4" s="119"/>
      <c r="AC4" s="95" t="s">
        <v>87</v>
      </c>
      <c r="AD4" s="120"/>
      <c r="AE4" s="14"/>
      <c r="AF4" s="43"/>
      <c r="AG4" s="14"/>
      <c r="AH4" s="14"/>
    </row>
    <row r="5" spans="1:34" ht="17.649999999999999">
      <c r="A5" s="561" t="s">
        <v>380</v>
      </c>
      <c r="B5" s="215"/>
      <c r="C5" s="236"/>
      <c r="D5" s="370" t="s">
        <v>56</v>
      </c>
      <c r="E5" s="121"/>
      <c r="F5" s="130">
        <f>-P</f>
        <v>-5000000</v>
      </c>
      <c r="G5" s="252"/>
      <c r="H5" s="223"/>
      <c r="I5" s="253"/>
      <c r="J5" s="223"/>
      <c r="K5" s="253"/>
      <c r="L5" s="223"/>
      <c r="M5" s="253"/>
      <c r="N5" s="223"/>
      <c r="O5" s="253"/>
      <c r="P5" s="223"/>
      <c r="Q5" s="253"/>
      <c r="R5" s="223"/>
      <c r="S5" s="253"/>
      <c r="T5" s="223"/>
      <c r="U5" s="253"/>
      <c r="V5" s="223"/>
      <c r="W5" s="253"/>
      <c r="X5" s="223"/>
      <c r="Y5" s="253"/>
      <c r="Z5" s="223"/>
      <c r="AA5" s="312"/>
      <c r="AB5" s="224"/>
      <c r="AC5" s="131">
        <f t="shared" ref="AC5" si="0">+SUM(F5:AA5)</f>
        <v>-5000000</v>
      </c>
      <c r="AD5" s="122"/>
    </row>
    <row r="6" spans="1:34" ht="15.4">
      <c r="A6" s="562"/>
      <c r="B6" s="215"/>
      <c r="C6" s="236"/>
      <c r="D6" s="237"/>
      <c r="E6" s="98"/>
      <c r="F6" s="225"/>
      <c r="G6" s="253"/>
      <c r="H6" s="223"/>
      <c r="I6" s="253"/>
      <c r="J6" s="223"/>
      <c r="K6" s="253"/>
      <c r="L6" s="223"/>
      <c r="M6" s="253"/>
      <c r="N6" s="223"/>
      <c r="O6" s="253"/>
      <c r="P6" s="223"/>
      <c r="Q6" s="253"/>
      <c r="R6" s="223"/>
      <c r="S6" s="253"/>
      <c r="T6" s="223"/>
      <c r="U6" s="253"/>
      <c r="V6" s="223"/>
      <c r="W6" s="253"/>
      <c r="X6" s="223"/>
      <c r="Y6" s="253"/>
      <c r="Z6" s="223"/>
      <c r="AA6" s="312"/>
      <c r="AB6" s="143"/>
      <c r="AC6" s="131">
        <f t="shared" ref="AC6:AC50" si="1">+SUM(F6:AA6)</f>
        <v>0</v>
      </c>
      <c r="AD6" s="122"/>
    </row>
    <row r="7" spans="1:34" ht="17.649999999999999">
      <c r="A7" s="562"/>
      <c r="B7" s="215"/>
      <c r="C7" s="238"/>
      <c r="D7" s="370" t="s">
        <v>242</v>
      </c>
      <c r="E7" s="121"/>
      <c r="F7" s="226"/>
      <c r="G7" s="254"/>
      <c r="H7" s="223"/>
      <c r="I7" s="253"/>
      <c r="J7" s="223"/>
      <c r="K7" s="253"/>
      <c r="L7" s="223"/>
      <c r="M7" s="253"/>
      <c r="N7" s="223"/>
      <c r="O7" s="253"/>
      <c r="P7" s="223"/>
      <c r="Q7" s="253"/>
      <c r="R7" s="223"/>
      <c r="S7" s="253"/>
      <c r="T7" s="223"/>
      <c r="U7" s="253"/>
      <c r="V7" s="223"/>
      <c r="W7" s="253"/>
      <c r="X7" s="223"/>
      <c r="Y7" s="253"/>
      <c r="Z7" s="223"/>
      <c r="AA7" s="312"/>
      <c r="AB7" s="224"/>
      <c r="AC7" s="131">
        <f t="shared" si="1"/>
        <v>0</v>
      </c>
      <c r="AD7" s="122"/>
    </row>
    <row r="8" spans="1:34" ht="15">
      <c r="A8" s="562"/>
      <c r="B8" s="215"/>
      <c r="C8" s="282">
        <f>+Dashboard!H19</f>
        <v>0.01</v>
      </c>
      <c r="D8" s="237" t="s">
        <v>51</v>
      </c>
      <c r="E8" s="98"/>
      <c r="F8" s="225">
        <f ca="1">+$C8*SUM($F$5,$F$18:$F$22,$F$25:$F$27,$F$35,$F$41)</f>
        <v>-50800</v>
      </c>
      <c r="G8" s="253"/>
      <c r="H8" s="223"/>
      <c r="I8" s="253"/>
      <c r="J8" s="223"/>
      <c r="K8" s="253"/>
      <c r="L8" s="223"/>
      <c r="M8" s="253"/>
      <c r="N8" s="223"/>
      <c r="O8" s="253"/>
      <c r="P8" s="223"/>
      <c r="Q8" s="253"/>
      <c r="R8" s="223"/>
      <c r="S8" s="253"/>
      <c r="T8" s="223"/>
      <c r="U8" s="253"/>
      <c r="V8" s="223"/>
      <c r="W8" s="253"/>
      <c r="X8" s="223"/>
      <c r="Y8" s="253"/>
      <c r="Z8" s="223"/>
      <c r="AA8" s="312"/>
      <c r="AB8" s="143"/>
      <c r="AC8" s="131">
        <f t="shared" ca="1" si="1"/>
        <v>-50800</v>
      </c>
      <c r="AD8" s="122"/>
    </row>
    <row r="9" spans="1:34" ht="15" hidden="1" outlineLevel="1">
      <c r="A9" s="562"/>
      <c r="B9" s="215"/>
      <c r="C9" s="282">
        <f>+Dashboard!K19</f>
        <v>0</v>
      </c>
      <c r="D9" s="237" t="s">
        <v>334</v>
      </c>
      <c r="E9" s="98"/>
      <c r="F9" s="225">
        <f ca="1">+$C9*SUM($F$5,$F$18:$F$22,$F$25:$F$27,$F$35,$F$41)</f>
        <v>0</v>
      </c>
      <c r="G9" s="253"/>
      <c r="H9" s="223"/>
      <c r="I9" s="253"/>
      <c r="J9" s="223"/>
      <c r="K9" s="253"/>
      <c r="L9" s="223"/>
      <c r="M9" s="253"/>
      <c r="N9" s="223"/>
      <c r="O9" s="253"/>
      <c r="P9" s="223"/>
      <c r="Q9" s="253"/>
      <c r="R9" s="223"/>
      <c r="S9" s="253"/>
      <c r="T9" s="223"/>
      <c r="U9" s="253"/>
      <c r="V9" s="223"/>
      <c r="W9" s="253"/>
      <c r="X9" s="223"/>
      <c r="Y9" s="253"/>
      <c r="Z9" s="223"/>
      <c r="AA9" s="312"/>
      <c r="AB9" s="143"/>
      <c r="AC9" s="131">
        <f t="shared" ca="1" si="1"/>
        <v>0</v>
      </c>
      <c r="AD9" s="122"/>
    </row>
    <row r="10" spans="1:34" ht="15" hidden="1" outlineLevel="1">
      <c r="A10" s="562"/>
      <c r="B10" s="215"/>
      <c r="C10" s="282">
        <f>+Dashboard!K21</f>
        <v>0</v>
      </c>
      <c r="D10" s="237" t="str">
        <f>+Dashboard!J21</f>
        <v>Fee #1</v>
      </c>
      <c r="E10" s="98"/>
      <c r="F10" s="225">
        <f ca="1">+$C10*SUM($F$5,$F$18:$F$22,$F$25:$F$27,$F$35,$F$41)</f>
        <v>0</v>
      </c>
      <c r="G10" s="253"/>
      <c r="H10" s="223"/>
      <c r="I10" s="253"/>
      <c r="J10" s="223"/>
      <c r="K10" s="253"/>
      <c r="L10" s="223"/>
      <c r="M10" s="253"/>
      <c r="N10" s="223"/>
      <c r="O10" s="253"/>
      <c r="P10" s="223"/>
      <c r="Q10" s="253"/>
      <c r="R10" s="223"/>
      <c r="S10" s="253"/>
      <c r="T10" s="223"/>
      <c r="U10" s="253"/>
      <c r="V10" s="223"/>
      <c r="W10" s="253"/>
      <c r="X10" s="223"/>
      <c r="Y10" s="253"/>
      <c r="Z10" s="223"/>
      <c r="AA10" s="312"/>
      <c r="AB10" s="143"/>
      <c r="AC10" s="131">
        <f t="shared" ca="1" si="1"/>
        <v>0</v>
      </c>
      <c r="AD10" s="122"/>
    </row>
    <row r="11" spans="1:34" ht="15" hidden="1" outlineLevel="1">
      <c r="A11" s="562"/>
      <c r="B11" s="215"/>
      <c r="C11" s="282">
        <f>+Dashboard!K22</f>
        <v>0</v>
      </c>
      <c r="D11" s="237" t="str">
        <f>+Dashboard!J22</f>
        <v>Fee #2</v>
      </c>
      <c r="E11" s="98"/>
      <c r="F11" s="225">
        <f ca="1">+$C11*SUM($F$5,$F$18:$F$22,$F$25:$F$27,$F$35,$F$41)</f>
        <v>0</v>
      </c>
      <c r="G11" s="253"/>
      <c r="H11" s="223"/>
      <c r="I11" s="253"/>
      <c r="J11" s="223"/>
      <c r="K11" s="253"/>
      <c r="L11" s="223"/>
      <c r="M11" s="253"/>
      <c r="N11" s="223"/>
      <c r="O11" s="253"/>
      <c r="P11" s="223"/>
      <c r="Q11" s="253"/>
      <c r="R11" s="223"/>
      <c r="S11" s="253"/>
      <c r="T11" s="223"/>
      <c r="U11" s="253"/>
      <c r="V11" s="223"/>
      <c r="W11" s="253"/>
      <c r="X11" s="223"/>
      <c r="Y11" s="253"/>
      <c r="Z11" s="223"/>
      <c r="AA11" s="312"/>
      <c r="AB11" s="143"/>
      <c r="AC11" s="131">
        <f t="shared" ca="1" si="1"/>
        <v>0</v>
      </c>
      <c r="AD11" s="122"/>
    </row>
    <row r="12" spans="1:34" ht="15" hidden="1" collapsed="1">
      <c r="A12" s="562"/>
      <c r="B12" s="215"/>
      <c r="C12" s="238"/>
      <c r="D12" s="237"/>
      <c r="E12" s="98"/>
      <c r="F12" s="225"/>
      <c r="G12" s="253"/>
      <c r="H12" s="223"/>
      <c r="I12" s="253"/>
      <c r="J12" s="223"/>
      <c r="K12" s="253"/>
      <c r="L12" s="223"/>
      <c r="M12" s="253"/>
      <c r="N12" s="223"/>
      <c r="O12" s="253"/>
      <c r="P12" s="223"/>
      <c r="Q12" s="253"/>
      <c r="R12" s="223"/>
      <c r="S12" s="253"/>
      <c r="T12" s="223"/>
      <c r="U12" s="253"/>
      <c r="V12" s="223"/>
      <c r="W12" s="253"/>
      <c r="X12" s="223"/>
      <c r="Y12" s="253"/>
      <c r="Z12" s="223"/>
      <c r="AA12" s="312"/>
      <c r="AB12" s="143"/>
      <c r="AC12" s="131">
        <f t="shared" si="1"/>
        <v>0</v>
      </c>
      <c r="AD12" s="122"/>
    </row>
    <row r="13" spans="1:34" ht="15">
      <c r="A13" s="562"/>
      <c r="B13" s="215"/>
      <c r="C13" s="282">
        <f>+Dashboard!H20</f>
        <v>0.01</v>
      </c>
      <c r="D13" s="237" t="s">
        <v>52</v>
      </c>
      <c r="E13" s="98"/>
      <c r="F13" s="225"/>
      <c r="G13" s="253"/>
      <c r="H13" s="223">
        <f ca="1">-IF(H&lt;H$3,0,-G$81*$C13)</f>
        <v>-13863</v>
      </c>
      <c r="I13" s="253"/>
      <c r="J13" s="223">
        <f ca="1">-IF(H&lt;J$3,0,-I$81*$C13)</f>
        <v>-13863</v>
      </c>
      <c r="K13" s="253"/>
      <c r="L13" s="223">
        <f ca="1">-IF(H&lt;L$3,0,-K$81*$C13)</f>
        <v>-13863</v>
      </c>
      <c r="M13" s="253"/>
      <c r="N13" s="223">
        <f ca="1">-IF(H&lt;N$3,0,-M$81*$C13)</f>
        <v>-13863</v>
      </c>
      <c r="O13" s="253"/>
      <c r="P13" s="223">
        <f ca="1">-IF(H&lt;P$3,0,-O$81*$C13)</f>
        <v>-13863</v>
      </c>
      <c r="Q13" s="253"/>
      <c r="R13" s="223">
        <f ca="1">-IF(H&lt;R$3,0,-Q$81*$C13)</f>
        <v>-13863</v>
      </c>
      <c r="S13" s="253"/>
      <c r="T13" s="223">
        <f ca="1">-IF(H&lt;T$3,0,-S$81*$C13)</f>
        <v>-13863</v>
      </c>
      <c r="U13" s="253"/>
      <c r="V13" s="223">
        <f>-IF(H&lt;V$3,0,-U$81*$C13)</f>
        <v>0</v>
      </c>
      <c r="W13" s="253"/>
      <c r="X13" s="223">
        <f>-IF(H&lt;X$3,0,-W$81*$C13)</f>
        <v>0</v>
      </c>
      <c r="Y13" s="253"/>
      <c r="Z13" s="223">
        <f>-IF(H&lt;Z$3,0,-Y$81*$C13)</f>
        <v>0</v>
      </c>
      <c r="AA13" s="312"/>
      <c r="AB13" s="143"/>
      <c r="AC13" s="131">
        <f t="shared" ca="1" si="1"/>
        <v>-97041</v>
      </c>
      <c r="AD13" s="122"/>
    </row>
    <row r="14" spans="1:34" ht="15">
      <c r="A14" s="562"/>
      <c r="B14" s="215"/>
      <c r="C14" s="282">
        <f>+Dashboard!H22</f>
        <v>0.05</v>
      </c>
      <c r="D14" s="237" t="s">
        <v>55</v>
      </c>
      <c r="E14" s="98"/>
      <c r="F14" s="225">
        <f>+$C$14*F$25</f>
        <v>0</v>
      </c>
      <c r="G14" s="253"/>
      <c r="H14" s="223">
        <f>+$C$14*H$25</f>
        <v>0</v>
      </c>
      <c r="I14" s="253"/>
      <c r="J14" s="223">
        <f>+$C$14*J$25</f>
        <v>0</v>
      </c>
      <c r="K14" s="253"/>
      <c r="L14" s="223">
        <f>+$C$14*L$25</f>
        <v>0</v>
      </c>
      <c r="M14" s="253"/>
      <c r="N14" s="223">
        <f>+$C$14*N$25</f>
        <v>0</v>
      </c>
      <c r="O14" s="253"/>
      <c r="P14" s="223">
        <f t="shared" ref="P14:Z14" si="2">+$C$14*P$25</f>
        <v>0</v>
      </c>
      <c r="Q14" s="253"/>
      <c r="R14" s="223">
        <f t="shared" si="2"/>
        <v>0</v>
      </c>
      <c r="S14" s="253"/>
      <c r="T14" s="223">
        <f t="shared" si="2"/>
        <v>0</v>
      </c>
      <c r="U14" s="253"/>
      <c r="V14" s="223">
        <f t="shared" si="2"/>
        <v>0</v>
      </c>
      <c r="W14" s="253"/>
      <c r="X14" s="223">
        <f t="shared" si="2"/>
        <v>0</v>
      </c>
      <c r="Y14" s="253"/>
      <c r="Z14" s="223">
        <f t="shared" si="2"/>
        <v>0</v>
      </c>
      <c r="AA14" s="312"/>
      <c r="AB14" s="143"/>
      <c r="AC14" s="131">
        <f t="shared" si="1"/>
        <v>0</v>
      </c>
      <c r="AD14" s="122"/>
    </row>
    <row r="15" spans="1:34" ht="15">
      <c r="A15" s="562"/>
      <c r="B15" s="215"/>
      <c r="C15" s="238"/>
      <c r="D15" s="237"/>
      <c r="E15" s="98"/>
      <c r="F15" s="225"/>
      <c r="G15" s="253"/>
      <c r="H15" s="223"/>
      <c r="I15" s="253"/>
      <c r="J15" s="223"/>
      <c r="K15" s="253"/>
      <c r="L15" s="223"/>
      <c r="M15" s="253"/>
      <c r="N15" s="223"/>
      <c r="O15" s="253"/>
      <c r="P15" s="223"/>
      <c r="Q15" s="253"/>
      <c r="R15" s="223"/>
      <c r="S15" s="253"/>
      <c r="T15" s="223"/>
      <c r="U15" s="253"/>
      <c r="V15" s="223"/>
      <c r="W15" s="253"/>
      <c r="X15" s="223"/>
      <c r="Y15" s="253"/>
      <c r="Z15" s="223"/>
      <c r="AA15" s="312"/>
      <c r="AB15" s="143"/>
      <c r="AC15" s="131">
        <f t="shared" si="1"/>
        <v>0</v>
      </c>
      <c r="AD15" s="122"/>
    </row>
    <row r="16" spans="1:34" ht="17.649999999999999">
      <c r="A16" s="562"/>
      <c r="B16" s="215"/>
      <c r="C16" s="238"/>
      <c r="D16" s="370" t="s">
        <v>53</v>
      </c>
      <c r="E16" s="121"/>
      <c r="F16" s="226"/>
      <c r="G16" s="254"/>
      <c r="H16" s="223"/>
      <c r="I16" s="253"/>
      <c r="J16" s="223"/>
      <c r="K16" s="253"/>
      <c r="L16" s="223"/>
      <c r="M16" s="253"/>
      <c r="N16" s="223"/>
      <c r="O16" s="253"/>
      <c r="P16" s="223"/>
      <c r="Q16" s="253"/>
      <c r="R16" s="223"/>
      <c r="S16" s="253"/>
      <c r="T16" s="223"/>
      <c r="U16" s="253"/>
      <c r="V16" s="223"/>
      <c r="W16" s="253"/>
      <c r="X16" s="223"/>
      <c r="Y16" s="253"/>
      <c r="Z16" s="223"/>
      <c r="AA16" s="312"/>
      <c r="AB16" s="224"/>
      <c r="AC16" s="131">
        <f t="shared" si="1"/>
        <v>0</v>
      </c>
      <c r="AD16" s="122"/>
    </row>
    <row r="17" spans="1:30" ht="15">
      <c r="A17" s="562"/>
      <c r="B17" s="215"/>
      <c r="C17" s="426">
        <f>+P*(1.1/1000)</f>
        <v>5500</v>
      </c>
      <c r="D17" s="237" t="s">
        <v>187</v>
      </c>
      <c r="E17" s="98"/>
      <c r="F17" s="225">
        <f>-C17</f>
        <v>-5500</v>
      </c>
      <c r="G17" s="254"/>
      <c r="H17" s="223"/>
      <c r="I17" s="253"/>
      <c r="J17" s="223"/>
      <c r="K17" s="253"/>
      <c r="L17" s="223"/>
      <c r="M17" s="253"/>
      <c r="N17" s="223"/>
      <c r="O17" s="253"/>
      <c r="P17" s="223"/>
      <c r="Q17" s="253"/>
      <c r="R17" s="223"/>
      <c r="S17" s="253"/>
      <c r="T17" s="223"/>
      <c r="U17" s="253"/>
      <c r="V17" s="223"/>
      <c r="W17" s="253"/>
      <c r="X17" s="223"/>
      <c r="Y17" s="253"/>
      <c r="Z17" s="223"/>
      <c r="AA17" s="312"/>
      <c r="AB17" s="143"/>
      <c r="AC17" s="131">
        <f t="shared" si="1"/>
        <v>-5500</v>
      </c>
      <c r="AD17" s="122"/>
    </row>
    <row r="18" spans="1:30" ht="15">
      <c r="A18" s="562"/>
      <c r="B18" s="215"/>
      <c r="C18" s="426">
        <f>+SUM(Worksheet!G43:G44)/2</f>
        <v>27500.000000000004</v>
      </c>
      <c r="D18" s="237" t="s">
        <v>57</v>
      </c>
      <c r="E18" s="98"/>
      <c r="F18" s="225">
        <f t="shared" ref="F18:F22" si="3">-C18</f>
        <v>-27500.000000000004</v>
      </c>
      <c r="G18" s="253"/>
      <c r="H18" s="223"/>
      <c r="I18" s="253"/>
      <c r="J18" s="223"/>
      <c r="K18" s="253"/>
      <c r="L18" s="223"/>
      <c r="M18" s="253"/>
      <c r="N18" s="223"/>
      <c r="O18" s="253"/>
      <c r="P18" s="223"/>
      <c r="Q18" s="253"/>
      <c r="R18" s="223"/>
      <c r="S18" s="253"/>
      <c r="T18" s="223"/>
      <c r="U18" s="253"/>
      <c r="V18" s="223"/>
      <c r="W18" s="253"/>
      <c r="X18" s="223"/>
      <c r="Y18" s="253"/>
      <c r="Z18" s="223"/>
      <c r="AA18" s="312">
        <f>-F18</f>
        <v>27500.000000000004</v>
      </c>
      <c r="AB18" s="143"/>
      <c r="AC18" s="131">
        <f t="shared" si="1"/>
        <v>0</v>
      </c>
      <c r="AD18" s="122"/>
    </row>
    <row r="19" spans="1:30" ht="15">
      <c r="A19" s="562"/>
      <c r="B19" s="215"/>
      <c r="C19" s="426"/>
      <c r="D19" s="237" t="s">
        <v>58</v>
      </c>
      <c r="E19" s="98"/>
      <c r="F19" s="225">
        <f t="shared" si="3"/>
        <v>0</v>
      </c>
      <c r="G19" s="253"/>
      <c r="H19" s="223"/>
      <c r="I19" s="253"/>
      <c r="J19" s="223"/>
      <c r="K19" s="253"/>
      <c r="L19" s="223"/>
      <c r="M19" s="253"/>
      <c r="N19" s="223"/>
      <c r="O19" s="253"/>
      <c r="P19" s="223"/>
      <c r="Q19" s="253"/>
      <c r="R19" s="223"/>
      <c r="S19" s="253"/>
      <c r="T19" s="223"/>
      <c r="U19" s="253"/>
      <c r="V19" s="223"/>
      <c r="W19" s="253"/>
      <c r="X19" s="223"/>
      <c r="Y19" s="253"/>
      <c r="Z19" s="223"/>
      <c r="AA19" s="312"/>
      <c r="AB19" s="143"/>
      <c r="AC19" s="131">
        <f t="shared" si="1"/>
        <v>0</v>
      </c>
      <c r="AD19" s="122"/>
    </row>
    <row r="20" spans="1:30" ht="15">
      <c r="A20" s="562"/>
      <c r="B20" s="215"/>
      <c r="C20" s="426">
        <v>30000</v>
      </c>
      <c r="D20" s="237" t="s">
        <v>64</v>
      </c>
      <c r="E20" s="98"/>
      <c r="F20" s="225">
        <f t="shared" si="3"/>
        <v>-30000</v>
      </c>
      <c r="G20" s="253"/>
      <c r="H20" s="223"/>
      <c r="I20" s="253"/>
      <c r="J20" s="223"/>
      <c r="K20" s="253"/>
      <c r="L20" s="223"/>
      <c r="M20" s="253"/>
      <c r="N20" s="223"/>
      <c r="O20" s="253"/>
      <c r="P20" s="223"/>
      <c r="Q20" s="253"/>
      <c r="R20" s="223"/>
      <c r="S20" s="253"/>
      <c r="T20" s="223"/>
      <c r="U20" s="253"/>
      <c r="V20" s="223"/>
      <c r="W20" s="253"/>
      <c r="X20" s="223"/>
      <c r="Y20" s="253"/>
      <c r="Z20" s="223"/>
      <c r="AA20" s="312"/>
      <c r="AB20" s="143"/>
      <c r="AC20" s="131">
        <f t="shared" si="1"/>
        <v>-30000</v>
      </c>
      <c r="AD20" s="122"/>
    </row>
    <row r="21" spans="1:30" ht="15">
      <c r="A21" s="562"/>
      <c r="B21" s="215"/>
      <c r="C21" s="504">
        <f>+Dashboard!K20</f>
        <v>5000</v>
      </c>
      <c r="D21" s="237" t="s">
        <v>62</v>
      </c>
      <c r="E21" s="98"/>
      <c r="F21" s="225"/>
      <c r="G21" s="253"/>
      <c r="H21" s="223">
        <f>IF(H$3&lt;=H,-$C21,0)</f>
        <v>-5000</v>
      </c>
      <c r="I21" s="253"/>
      <c r="J21" s="223">
        <f>IF(J$3&lt;=H,-$C21,0)</f>
        <v>-5000</v>
      </c>
      <c r="K21" s="253"/>
      <c r="L21" s="223">
        <f>IF(L$3&lt;=H,-$C21,0)</f>
        <v>-5000</v>
      </c>
      <c r="M21" s="253"/>
      <c r="N21" s="223">
        <f>IF(N$3&lt;=H,-$C21,0)</f>
        <v>-5000</v>
      </c>
      <c r="O21" s="253"/>
      <c r="P21" s="223">
        <f>IF(P$3&lt;=H,-$C21,0)</f>
        <v>-5000</v>
      </c>
      <c r="Q21" s="253"/>
      <c r="R21" s="223">
        <f>IF(R$3&lt;=H,-$C21,0)</f>
        <v>-5000</v>
      </c>
      <c r="S21" s="253"/>
      <c r="T21" s="223">
        <f>IF(T$3&lt;=H,-$C21,0)</f>
        <v>-5000</v>
      </c>
      <c r="U21" s="253"/>
      <c r="V21" s="223">
        <f>IF(V$3&lt;=H,-$C21,0)</f>
        <v>0</v>
      </c>
      <c r="W21" s="253"/>
      <c r="X21" s="223">
        <f>IF(X$3&lt;=H,-$C21,0)</f>
        <v>0</v>
      </c>
      <c r="Y21" s="253"/>
      <c r="Z21" s="223">
        <f>IF(Z$3&lt;=H,-$C21,0)</f>
        <v>0</v>
      </c>
      <c r="AA21" s="312"/>
      <c r="AB21" s="143"/>
      <c r="AC21" s="131">
        <f t="shared" si="1"/>
        <v>-35000</v>
      </c>
      <c r="AD21" s="122"/>
    </row>
    <row r="22" spans="1:30" ht="15">
      <c r="A22" s="562"/>
      <c r="B22" s="215"/>
      <c r="C22" s="426"/>
      <c r="D22" s="237" t="s">
        <v>59</v>
      </c>
      <c r="E22" s="98"/>
      <c r="F22" s="225">
        <f t="shared" si="3"/>
        <v>0</v>
      </c>
      <c r="G22" s="253"/>
      <c r="H22" s="223"/>
      <c r="I22" s="253"/>
      <c r="J22" s="223"/>
      <c r="K22" s="253"/>
      <c r="L22" s="223"/>
      <c r="M22" s="253"/>
      <c r="N22" s="223"/>
      <c r="O22" s="253"/>
      <c r="P22" s="223"/>
      <c r="Q22" s="253"/>
      <c r="R22" s="223"/>
      <c r="S22" s="253"/>
      <c r="T22" s="223"/>
      <c r="U22" s="253"/>
      <c r="V22" s="223"/>
      <c r="W22" s="253"/>
      <c r="X22" s="223"/>
      <c r="Y22" s="253"/>
      <c r="Z22" s="223"/>
      <c r="AA22" s="312"/>
      <c r="AB22" s="143"/>
      <c r="AC22" s="131">
        <f t="shared" si="1"/>
        <v>0</v>
      </c>
      <c r="AD22" s="122"/>
    </row>
    <row r="23" spans="1:30" ht="15.4" thickBot="1">
      <c r="A23" s="562"/>
      <c r="B23" s="215"/>
      <c r="C23" s="240"/>
      <c r="D23" s="241"/>
      <c r="E23" s="99"/>
      <c r="F23" s="227"/>
      <c r="G23" s="255"/>
      <c r="H23" s="228"/>
      <c r="I23" s="255"/>
      <c r="J23" s="228"/>
      <c r="K23" s="255"/>
      <c r="L23" s="228"/>
      <c r="M23" s="255"/>
      <c r="N23" s="228"/>
      <c r="O23" s="255"/>
      <c r="P23" s="228"/>
      <c r="Q23" s="255"/>
      <c r="R23" s="228"/>
      <c r="S23" s="255"/>
      <c r="T23" s="228"/>
      <c r="U23" s="255"/>
      <c r="V23" s="228"/>
      <c r="W23" s="255"/>
      <c r="X23" s="228"/>
      <c r="Y23" s="255"/>
      <c r="Z23" s="228"/>
      <c r="AA23" s="313"/>
      <c r="AB23" s="229"/>
      <c r="AC23" s="230">
        <f t="shared" si="1"/>
        <v>0</v>
      </c>
      <c r="AD23" s="122"/>
    </row>
    <row r="24" spans="1:30" ht="17.649999999999999">
      <c r="A24" s="561" t="s">
        <v>379</v>
      </c>
      <c r="B24" s="215"/>
      <c r="C24" s="238"/>
      <c r="D24" s="370" t="s">
        <v>63</v>
      </c>
      <c r="E24" s="121"/>
      <c r="F24" s="226"/>
      <c r="G24" s="254"/>
      <c r="H24" s="223"/>
      <c r="I24" s="253"/>
      <c r="J24" s="223"/>
      <c r="K24" s="253"/>
      <c r="L24" s="223"/>
      <c r="M24" s="253"/>
      <c r="N24" s="223"/>
      <c r="O24" s="253"/>
      <c r="P24" s="223"/>
      <c r="Q24" s="253"/>
      <c r="R24" s="223"/>
      <c r="S24" s="253"/>
      <c r="T24" s="223"/>
      <c r="U24" s="253"/>
      <c r="V24" s="223"/>
      <c r="W24" s="253"/>
      <c r="X24" s="223"/>
      <c r="Y24" s="253"/>
      <c r="Z24" s="223"/>
      <c r="AA24" s="312"/>
      <c r="AB24" s="224"/>
      <c r="AC24" s="131">
        <f t="shared" si="1"/>
        <v>0</v>
      </c>
      <c r="AD24" s="122"/>
    </row>
    <row r="25" spans="1:30" ht="15">
      <c r="A25" s="561"/>
      <c r="B25" s="215"/>
      <c r="C25" s="242">
        <f>+Rehab!L28+Rehab!X28</f>
        <v>0</v>
      </c>
      <c r="D25" s="237" t="s">
        <v>54</v>
      </c>
      <c r="E25" s="98"/>
      <c r="F25" s="231">
        <f>-Rehab!F28-Rehab!R28</f>
        <v>0</v>
      </c>
      <c r="G25" s="253"/>
      <c r="H25" s="232">
        <f>-Rehab!G28-Rehab!S28</f>
        <v>0</v>
      </c>
      <c r="I25" s="253"/>
      <c r="J25" s="232">
        <f>-Rehab!H28-Rehab!T28</f>
        <v>0</v>
      </c>
      <c r="K25" s="253"/>
      <c r="L25" s="232">
        <f>-Rehab!I28-Rehab!U28</f>
        <v>0</v>
      </c>
      <c r="M25" s="253"/>
      <c r="N25" s="232"/>
      <c r="O25" s="253"/>
      <c r="P25" s="223"/>
      <c r="Q25" s="253"/>
      <c r="R25" s="223"/>
      <c r="S25" s="253"/>
      <c r="T25" s="223"/>
      <c r="U25" s="253"/>
      <c r="V25" s="223"/>
      <c r="W25" s="253"/>
      <c r="X25" s="223"/>
      <c r="Y25" s="253"/>
      <c r="Z25" s="223"/>
      <c r="AA25" s="312"/>
      <c r="AB25" s="143"/>
      <c r="AC25" s="131">
        <f t="shared" si="1"/>
        <v>0</v>
      </c>
      <c r="AD25" s="122"/>
    </row>
    <row r="26" spans="1:30" ht="15">
      <c r="A26" s="561"/>
      <c r="B26" s="215"/>
      <c r="C26" s="239">
        <v>0.1</v>
      </c>
      <c r="D26" s="237" t="s">
        <v>335</v>
      </c>
      <c r="E26" s="98"/>
      <c r="F26" s="225">
        <f>+$C26*F$25</f>
        <v>0</v>
      </c>
      <c r="G26" s="253"/>
      <c r="H26" s="223">
        <f t="shared" ref="H26:L26" si="4">+$C26*H$25</f>
        <v>0</v>
      </c>
      <c r="I26" s="253"/>
      <c r="J26" s="223">
        <f t="shared" si="4"/>
        <v>0</v>
      </c>
      <c r="K26" s="253"/>
      <c r="L26" s="223">
        <f t="shared" si="4"/>
        <v>0</v>
      </c>
      <c r="M26" s="253"/>
      <c r="N26" s="223"/>
      <c r="O26" s="253"/>
      <c r="P26" s="223"/>
      <c r="Q26" s="253"/>
      <c r="R26" s="223"/>
      <c r="S26" s="253"/>
      <c r="T26" s="223"/>
      <c r="U26" s="253"/>
      <c r="V26" s="223"/>
      <c r="W26" s="253"/>
      <c r="X26" s="223"/>
      <c r="Y26" s="253"/>
      <c r="Z26" s="223"/>
      <c r="AA26" s="312"/>
      <c r="AB26" s="143"/>
      <c r="AC26" s="131">
        <f t="shared" si="1"/>
        <v>0</v>
      </c>
      <c r="AD26" s="122"/>
    </row>
    <row r="27" spans="1:30" ht="15">
      <c r="A27" s="561"/>
      <c r="B27" s="215"/>
      <c r="C27" s="243">
        <f>+C25*2%</f>
        <v>0</v>
      </c>
      <c r="D27" s="237" t="s">
        <v>68</v>
      </c>
      <c r="E27" s="98"/>
      <c r="F27" s="225">
        <f>+IFERROR(IF($C27&gt;0,$C27*(F$25/$C$25),0),0)</f>
        <v>0</v>
      </c>
      <c r="G27" s="253"/>
      <c r="H27" s="223">
        <f>+IFERROR(IF($C27&gt;0,$C27*(H$25/$C$25),0),0)</f>
        <v>0</v>
      </c>
      <c r="I27" s="253"/>
      <c r="J27" s="223">
        <f>+IFERROR(IF($C27&gt;0,$C27*(J$25/$C$25),0),0)</f>
        <v>0</v>
      </c>
      <c r="K27" s="253"/>
      <c r="L27" s="223">
        <f>+IFERROR(IF($C27&gt;0,$C27*(L$25/$C$25),0),0)</f>
        <v>0</v>
      </c>
      <c r="M27" s="253"/>
      <c r="N27" s="223"/>
      <c r="O27" s="253"/>
      <c r="P27" s="223"/>
      <c r="Q27" s="253"/>
      <c r="R27" s="223"/>
      <c r="S27" s="253"/>
      <c r="T27" s="223"/>
      <c r="U27" s="253"/>
      <c r="V27" s="223"/>
      <c r="W27" s="253"/>
      <c r="X27" s="223"/>
      <c r="Y27" s="253"/>
      <c r="Z27" s="223"/>
      <c r="AA27" s="312"/>
      <c r="AB27" s="143"/>
      <c r="AC27" s="131">
        <f t="shared" si="1"/>
        <v>0</v>
      </c>
      <c r="AD27" s="122"/>
    </row>
    <row r="28" spans="1:30" ht="15">
      <c r="A28" s="561"/>
      <c r="B28" s="215"/>
      <c r="C28" s="238"/>
      <c r="D28" s="237"/>
      <c r="E28" s="98"/>
      <c r="F28" s="225"/>
      <c r="G28" s="253"/>
      <c r="H28" s="223"/>
      <c r="I28" s="253"/>
      <c r="J28" s="223"/>
      <c r="K28" s="253"/>
      <c r="L28" s="223"/>
      <c r="M28" s="253"/>
      <c r="N28" s="223"/>
      <c r="O28" s="253"/>
      <c r="P28" s="223"/>
      <c r="Q28" s="253"/>
      <c r="R28" s="223"/>
      <c r="S28" s="253"/>
      <c r="T28" s="223"/>
      <c r="U28" s="253"/>
      <c r="V28" s="223"/>
      <c r="W28" s="253"/>
      <c r="X28" s="223"/>
      <c r="Y28" s="253"/>
      <c r="Z28" s="223"/>
      <c r="AA28" s="312"/>
      <c r="AB28" s="143"/>
      <c r="AC28" s="131">
        <f t="shared" si="1"/>
        <v>0</v>
      </c>
      <c r="AD28" s="122"/>
    </row>
    <row r="29" spans="1:30" ht="17.649999999999999">
      <c r="A29" s="561"/>
      <c r="B29" s="215"/>
      <c r="C29" s="238"/>
      <c r="D29" s="370" t="s">
        <v>60</v>
      </c>
      <c r="E29" s="121"/>
      <c r="F29" s="226"/>
      <c r="G29" s="254"/>
      <c r="H29" s="223"/>
      <c r="I29" s="253"/>
      <c r="J29" s="223"/>
      <c r="K29" s="253"/>
      <c r="L29" s="223"/>
      <c r="M29" s="253"/>
      <c r="N29" s="223"/>
      <c r="O29" s="253"/>
      <c r="P29" s="223"/>
      <c r="Q29" s="253"/>
      <c r="R29" s="223"/>
      <c r="S29" s="253"/>
      <c r="T29" s="223"/>
      <c r="U29" s="253"/>
      <c r="V29" s="223"/>
      <c r="W29" s="253"/>
      <c r="X29" s="223"/>
      <c r="Y29" s="253"/>
      <c r="Z29" s="223"/>
      <c r="AA29" s="312"/>
      <c r="AB29" s="224"/>
      <c r="AC29" s="131">
        <f t="shared" si="1"/>
        <v>0</v>
      </c>
      <c r="AD29" s="122"/>
    </row>
    <row r="30" spans="1:30" ht="15">
      <c r="A30" s="561"/>
      <c r="B30" s="215"/>
      <c r="C30" s="238"/>
      <c r="D30" s="237" t="s">
        <v>61</v>
      </c>
      <c r="E30" s="98"/>
      <c r="F30" s="225"/>
      <c r="G30" s="253"/>
      <c r="H30" s="223">
        <f>IF(H$3&lt;=H,LOOKUP(H$3,Cashflow!$D$4:$N$4,Cashflow!$D$100:$N$100),0)</f>
        <v>270350.12525000004</v>
      </c>
      <c r="I30" s="253"/>
      <c r="J30" s="223">
        <f>IF(J$3&lt;=H,LOOKUP(J$3,Cashflow!$D$4:$N$4,Cashflow!$D$100:$N$100),0)</f>
        <v>301746.87</v>
      </c>
      <c r="K30" s="253"/>
      <c r="L30" s="223">
        <f>IF(L$3&lt;=H,LOOKUP(L$3,Cashflow!$D$4:$N$4,Cashflow!$D$100:$N$100),0)</f>
        <v>320929.140678</v>
      </c>
      <c r="M30" s="253"/>
      <c r="N30" s="223">
        <f>IF(N$3&lt;=H,LOOKUP(N$3,Cashflow!$D$4:$N$4,Cashflow!$D$100:$N$100),0)</f>
        <v>327161.93226031354</v>
      </c>
      <c r="O30" s="253"/>
      <c r="P30" s="223">
        <f>IF(P$3&lt;=H,LOOKUP(P$3,Cashflow!$D$4:$N$4,Cashflow!$D$100:$N$100),0)</f>
        <v>333514.33111675258</v>
      </c>
      <c r="Q30" s="253"/>
      <c r="R30" s="223">
        <f>IF(R$3&lt;=H,LOOKUP(R$3,Cashflow!$D$4:$N$4,Cashflow!$D$100:$N$100),0)</f>
        <v>339988.58897534537</v>
      </c>
      <c r="S30" s="253"/>
      <c r="T30" s="223">
        <f>IF(T$3&lt;=H,LOOKUP(T$3,Cashflow!$D$4:$N$4,Cashflow!$D$100:$N$100),0)</f>
        <v>346586.9986182024</v>
      </c>
      <c r="U30" s="253"/>
      <c r="V30" s="223">
        <f>IF(V$3&lt;=H,LOOKUP(V$3,Cashflow!$D$4:$N$4,Cashflow!$D$100:$N$100),0)</f>
        <v>0</v>
      </c>
      <c r="W30" s="253"/>
      <c r="X30" s="223">
        <f>IF(X$3&lt;=H,LOOKUP(X$3,Cashflow!$D$4:$N$4,Cashflow!$D$100:$N$100),0)</f>
        <v>0</v>
      </c>
      <c r="Y30" s="253"/>
      <c r="Z30" s="223">
        <f>IF(Z$3&lt;=H,LOOKUP(Z$3,Cashflow!$D$4:$N$4,Cashflow!$D$100:$N$100),0)</f>
        <v>0</v>
      </c>
      <c r="AA30" s="312"/>
      <c r="AB30" s="143"/>
      <c r="AC30" s="131">
        <f t="shared" si="1"/>
        <v>2240277.9868986136</v>
      </c>
      <c r="AD30" s="122"/>
    </row>
    <row r="31" spans="1:30" ht="15.4" thickBot="1">
      <c r="A31" s="561"/>
      <c r="B31" s="215"/>
      <c r="C31" s="240"/>
      <c r="D31" s="241"/>
      <c r="E31" s="99"/>
      <c r="F31" s="227"/>
      <c r="G31" s="255"/>
      <c r="H31" s="228"/>
      <c r="I31" s="255"/>
      <c r="J31" s="228"/>
      <c r="K31" s="255"/>
      <c r="L31" s="228"/>
      <c r="M31" s="255"/>
      <c r="N31" s="228"/>
      <c r="O31" s="255"/>
      <c r="P31" s="228"/>
      <c r="Q31" s="255"/>
      <c r="R31" s="228"/>
      <c r="S31" s="255"/>
      <c r="T31" s="228"/>
      <c r="U31" s="255"/>
      <c r="V31" s="228"/>
      <c r="W31" s="255"/>
      <c r="X31" s="228"/>
      <c r="Y31" s="255"/>
      <c r="Z31" s="228"/>
      <c r="AA31" s="313"/>
      <c r="AB31" s="229"/>
      <c r="AC31" s="230">
        <f t="shared" si="1"/>
        <v>0</v>
      </c>
      <c r="AD31" s="122"/>
    </row>
    <row r="32" spans="1:30" ht="17.649999999999999">
      <c r="A32" s="561" t="s">
        <v>274</v>
      </c>
      <c r="B32" s="215"/>
      <c r="C32" s="244"/>
      <c r="D32" s="370" t="s">
        <v>46</v>
      </c>
      <c r="E32" s="121"/>
      <c r="F32" s="226"/>
      <c r="G32" s="254"/>
      <c r="H32" s="223"/>
      <c r="I32" s="253"/>
      <c r="J32" s="223"/>
      <c r="K32" s="253"/>
      <c r="L32" s="223"/>
      <c r="M32" s="253"/>
      <c r="N32" s="223"/>
      <c r="O32" s="253"/>
      <c r="P32" s="223"/>
      <c r="Q32" s="253"/>
      <c r="R32" s="223"/>
      <c r="S32" s="253"/>
      <c r="T32" s="223"/>
      <c r="U32" s="253"/>
      <c r="V32" s="223"/>
      <c r="W32" s="253"/>
      <c r="X32" s="223"/>
      <c r="Y32" s="253"/>
      <c r="Z32" s="223"/>
      <c r="AA32" s="312"/>
      <c r="AB32" s="224"/>
      <c r="AC32" s="131">
        <f t="shared" si="1"/>
        <v>0</v>
      </c>
      <c r="AD32" s="122"/>
    </row>
    <row r="33" spans="1:30" ht="15">
      <c r="A33" s="561"/>
      <c r="B33" s="215"/>
      <c r="C33" s="245"/>
      <c r="D33" s="237" t="s">
        <v>49</v>
      </c>
      <c r="E33" s="98"/>
      <c r="F33" s="225">
        <f ca="1">+IF($C$32="Assumed",Amortization!Q4,LOOKUP(F4,Amortization!$E$18:$E$497,Amortization!$H$18:$H$497))</f>
        <v>3750000</v>
      </c>
      <c r="G33" s="253"/>
      <c r="H33" s="223">
        <f ca="1">IF(H&lt;H$3,0,IF(SUM($F$33:G33)=0,0,IF($C$32="Assumed",-SUMIFS(Amortization!$Y$5:$Y$15,Amortization!$V$5:$V$15,H$3),SUMIFS(Amortization!$K$18:$K$497,Amortization!$C$18:$C$497,H$3))))</f>
        <v>-66038.866246952122</v>
      </c>
      <c r="I33" s="253">
        <f>+IF(AND($D$45="Yes",$C$45=I$3),-SUM($F33:H33),0)</f>
        <v>0</v>
      </c>
      <c r="J33" s="223">
        <f ca="1">IF(H&lt;J$3,0,IF(SUM($F$33:I33)=0,0,IF($C$32="Assumed",-SUMIFS(Amortization!$Y$5:$Y$15,Amortization!$V$5:$V$15,J$3),SUMIFS(Amortization!$K$18:$K$497,Amortization!$C$18:$C$497,J$3))))</f>
        <v>-68729.391550526547</v>
      </c>
      <c r="K33" s="253">
        <f>+IF(AND($D$45="Yes",$C$45=K$3),-SUM($F33:J33),0)</f>
        <v>0</v>
      </c>
      <c r="L33" s="223">
        <f ca="1">IF(H&lt;L$3,0,IF(SUM($F$33:K33)=0,0,IF($C$32="Assumed",-SUMIFS(Amortization!$Y$5:$Y$15,Amortization!$V$5:$V$15,L$3),SUMIFS(Amortization!$K$18:$K$497,Amortization!$C$18:$C$497,L$3))))</f>
        <v>-71529.533006233381</v>
      </c>
      <c r="M33" s="253">
        <f>+IF(AND($D$45="Yes",$C$45=M$3),-SUM($F33:L33),0)</f>
        <v>0</v>
      </c>
      <c r="N33" s="223">
        <f ca="1">IF(H&lt;N$3,0,IF(SUM($F$33:M33)=0,0,IF($C$32="Assumed",-SUMIFS(Amortization!$Y$5:$Y$15,Amortization!$V$5:$V$15,N$3),SUMIFS(Amortization!$K$18:$K$497,Amortization!$C$18:$C$497,N$3))))</f>
        <v>-74443.756545239346</v>
      </c>
      <c r="O33" s="253">
        <f>+IF(AND($D$45="Yes",$C$45=O$3),-SUM($F33:N33),0)</f>
        <v>0</v>
      </c>
      <c r="P33" s="223">
        <f ca="1">IF(H&lt;P$3,0,IF(SUM($F$33:O33)=0,0,IF($C$32="Assumed",-SUMIFS(Amortization!$Y$5:$Y$15,Amortization!$V$5:$V$15,P$3),SUMIFS(Amortization!$K$18:$K$497,Amortization!$C$18:$C$497,P$3))))</f>
        <v>-77476.710047637593</v>
      </c>
      <c r="Q33" s="253">
        <f>+IF(AND($D$45="Yes",$C$45=Q$3),-SUM($F33:P33),0)</f>
        <v>0</v>
      </c>
      <c r="R33" s="223">
        <f ca="1">IF(H&lt;R$3,0,IF(SUM($F$33:Q33)=0,0,IF($C$32="Assumed",-SUMIFS(Amortization!$Y$5:$Y$15,Amortization!$V$5:$V$15,R$3),SUMIFS(Amortization!$K$18:$K$497,Amortization!$C$18:$C$497,R$3))))</f>
        <v>-80633.230755327517</v>
      </c>
      <c r="S33" s="253">
        <f>+IF(AND($D$45="Yes",$C$45=S$3),-SUM($F33:R33),0)</f>
        <v>0</v>
      </c>
      <c r="T33" s="223">
        <f ca="1">IF(H&lt;T$3,0,IF(SUM($F$33:S33)=0,0,IF($C$32="Assumed",-SUMIFS(Amortization!$Y$5:$Y$15,Amortization!$V$5:$V$15,T$3),SUMIFS(Amortization!$K$18:$K$497,Amortization!$C$18:$C$497,T$3))))</f>
        <v>-83918.352986906975</v>
      </c>
      <c r="U33" s="253">
        <f>+IF(AND($D$45="Yes",$C$45=U$3),-SUM($F33:T33),0)</f>
        <v>0</v>
      </c>
      <c r="V33" s="223">
        <f>IF(H&lt;V$3,0,IF(SUM($F$33:U33)=0,0,IF($C$32="Assumed",-SUMIFS(Amortization!$Y$5:$Y$15,Amortization!$V$5:$V$15,V$3),SUMIFS(Amortization!$K$18:$K$497,Amortization!$C$18:$C$497,V$3))))</f>
        <v>0</v>
      </c>
      <c r="W33" s="253">
        <f>+IF(AND($D$45="Yes",$C$45=W$3),-SUM($F33:V33),0)</f>
        <v>0</v>
      </c>
      <c r="X33" s="223">
        <f>IF(H&lt;X$3,0,IF(SUM($F$33:W33)=0,0,IF($C$32="Assumed",-SUMIFS(Amortization!$Y$5:$Y$15,Amortization!$V$5:$V$15,X$3),SUMIFS(Amortization!$K$18:$K$497,Amortization!$C$18:$C$497,X$3))))</f>
        <v>0</v>
      </c>
      <c r="Y33" s="253">
        <f>+IF(AND($D$45="Yes",$C$45=Y$3),-SUM($F33:X33),0)</f>
        <v>0</v>
      </c>
      <c r="Z33" s="223">
        <f>IF(H&lt;Z$3,0,IF(SUM($F$33:Y33)=0,0,IF($C$32="Assumed",-SUMIFS(Amortization!$Y$5:$Y$15,Amortization!$V$5:$V$15,Z$3),SUMIFS(Amortization!$K$18:$K$497,Amortization!$C$18:$C$497,Z$3))))</f>
        <v>0</v>
      </c>
      <c r="AA33" s="312">
        <f ca="1">-SUM(F33:Z33)</f>
        <v>-3227230.1588611766</v>
      </c>
      <c r="AB33" s="143"/>
      <c r="AC33" s="131">
        <f t="shared" ca="1" si="1"/>
        <v>0</v>
      </c>
      <c r="AD33" s="122"/>
    </row>
    <row r="34" spans="1:30" ht="15">
      <c r="A34" s="561"/>
      <c r="B34" s="215"/>
      <c r="C34" s="245"/>
      <c r="D34" s="237" t="s">
        <v>84</v>
      </c>
      <c r="E34" s="98"/>
      <c r="F34" s="225"/>
      <c r="G34" s="253"/>
      <c r="H34" s="223">
        <f ca="1">IF(H&lt;H$3,0,IF(SUM($F$33:G33)=0,0,IF($C$32="Assumed",-SUMIFS(Amortization!$X$5:$X$15,Amortization!$V$5:$V$15,H$3),SUMIFS(Amortization!$J$18:$J$497,Amortization!$C$18:$C$497,H$3))))</f>
        <v>-148798.01671250458</v>
      </c>
      <c r="I34" s="253"/>
      <c r="J34" s="223">
        <f ca="1">IF(H&lt;J$3,0,IF(SUM($F$33:I33)=0,0,IF($C$32="Assumed",-SUMIFS(Amortization!$X$5:$X$15,Amortization!$V$5:$V$15,J$3),SUMIFS(Amortization!$J$18:$J$497,Amortization!$C$18:$C$497,J$3))))</f>
        <v>-146107.49140893016</v>
      </c>
      <c r="K34" s="253"/>
      <c r="L34" s="223">
        <f ca="1">IF(H&lt;L$3,0,IF(SUM($F$33:K33)=0,0,IF($C$32="Assumed",-SUMIFS(Amortization!$X$5:$X$15,Amortization!$V$5:$V$15,L$3),SUMIFS(Amortization!$J$18:$J$497,Amortization!$C$18:$C$497,L$3))))</f>
        <v>-143307.3499532234</v>
      </c>
      <c r="M34" s="253"/>
      <c r="N34" s="223">
        <f ca="1">IF(H&lt;N$3,0,IF(SUM($F$33:M33)=0,0,IF($C$32="Assumed",-SUMIFS(Amortization!$X$5:$X$15,Amortization!$V$5:$V$15,N$3),SUMIFS(Amortization!$J$18:$J$497,Amortization!$C$18:$C$497,N$3))))</f>
        <v>-140393.12641421737</v>
      </c>
      <c r="O34" s="253"/>
      <c r="P34" s="223">
        <f ca="1">IF(H&lt;P$3,0,IF(SUM($F$33:O33)=0,0,IF($C$32="Assumed",-SUMIFS(Amortization!$X$5:$X$15,Amortization!$V$5:$V$15,P$3),SUMIFS(Amortization!$J$18:$J$497,Amortization!$C$18:$C$497,P$3))))</f>
        <v>-137360.17291181919</v>
      </c>
      <c r="Q34" s="253"/>
      <c r="R34" s="223">
        <f ca="1">IF(H&lt;R$3,0,IF(SUM($F$33:Q33)=0,0,IF($C$32="Assumed",-SUMIFS(Amortization!$X$5:$X$15,Amortization!$V$5:$V$15,R$3),SUMIFS(Amortization!$J$18:$J$497,Amortization!$C$18:$C$497,R$3))))</f>
        <v>-134203.65220412923</v>
      </c>
      <c r="S34" s="253"/>
      <c r="T34" s="223">
        <f ca="1">IF(H&lt;T$3,0,IF(SUM($F$33:S33)=0,0,IF($C$32="Assumed",-SUMIFS(Amortization!$X$5:$X$15,Amortization!$V$5:$V$15,T$3),SUMIFS(Amortization!$J$18:$J$497,Amortization!$C$18:$C$497,T$3))))</f>
        <v>-130918.52997254976</v>
      </c>
      <c r="U34" s="253"/>
      <c r="V34" s="223">
        <f>IF(H&lt;V$3,0,IF(SUM($F$33:U33)=0,0,IF($C$32="Assumed",-SUMIFS(Amortization!$X$5:$X$15,Amortization!$V$5:$V$15,V$3),SUMIFS(Amortization!$J$18:$J$497,Amortization!$C$18:$C$497,V$3))))</f>
        <v>0</v>
      </c>
      <c r="W34" s="253"/>
      <c r="X34" s="223">
        <f>IF(H&lt;X$3,0,IF(SUM($F$33:W33)=0,0,IF($C$32="Assumed",-SUMIFS(Amortization!$X$5:$X$15,Amortization!$V$5:$V$15,X$3),SUMIFS(Amortization!$J$18:$J$497,Amortization!$C$18:$C$497,X$3))))</f>
        <v>0</v>
      </c>
      <c r="Y34" s="253"/>
      <c r="Z34" s="223">
        <f>IF(H&lt;Z$3,0,IF(SUM($F$33:Y33)=0,0,IF($C$32="Assumed",-SUMIFS(Amortization!$X$5:$X$15,Amortization!$V$5:$V$15,Z$3),SUMIFS(Amortization!$J$18:$J$497,Amortization!$C$18:$C$497,Z$3))))</f>
        <v>0</v>
      </c>
      <c r="AA34" s="312"/>
      <c r="AB34" s="143"/>
      <c r="AC34" s="131">
        <f t="shared" ca="1" si="1"/>
        <v>-981088.3395773737</v>
      </c>
      <c r="AD34" s="122"/>
    </row>
    <row r="35" spans="1:30" ht="15">
      <c r="A35" s="561"/>
      <c r="B35" s="215"/>
      <c r="C35" s="248">
        <v>6.0000000000000001E-3</v>
      </c>
      <c r="D35" s="237" t="s">
        <v>66</v>
      </c>
      <c r="E35" s="98"/>
      <c r="F35" s="225">
        <f ca="1">-$F33*C35</f>
        <v>-22500</v>
      </c>
      <c r="G35" s="253"/>
      <c r="H35" s="223"/>
      <c r="I35" s="253"/>
      <c r="J35" s="223"/>
      <c r="K35" s="253"/>
      <c r="L35" s="223"/>
      <c r="M35" s="253"/>
      <c r="N35" s="223"/>
      <c r="O35" s="253"/>
      <c r="P35" s="223"/>
      <c r="Q35" s="253"/>
      <c r="R35" s="223"/>
      <c r="S35" s="253"/>
      <c r="T35" s="223"/>
      <c r="U35" s="253"/>
      <c r="V35" s="223"/>
      <c r="W35" s="253"/>
      <c r="X35" s="223"/>
      <c r="Y35" s="253"/>
      <c r="Z35" s="223"/>
      <c r="AA35" s="312"/>
      <c r="AB35" s="143"/>
      <c r="AC35" s="131">
        <f t="shared" ca="1" si="1"/>
        <v>-22500</v>
      </c>
      <c r="AD35" s="122"/>
    </row>
    <row r="36" spans="1:30" ht="15">
      <c r="A36" s="561"/>
      <c r="B36" s="215"/>
      <c r="C36" s="248">
        <v>0.01</v>
      </c>
      <c r="D36" s="237" t="s">
        <v>336</v>
      </c>
      <c r="E36" s="98"/>
      <c r="F36" s="225"/>
      <c r="G36" s="253"/>
      <c r="H36" s="223"/>
      <c r="I36" s="253"/>
      <c r="J36" s="223"/>
      <c r="K36" s="253"/>
      <c r="L36" s="223"/>
      <c r="M36" s="253"/>
      <c r="N36" s="223"/>
      <c r="O36" s="253"/>
      <c r="P36" s="223"/>
      <c r="Q36" s="253"/>
      <c r="R36" s="223"/>
      <c r="S36" s="253"/>
      <c r="T36" s="223"/>
      <c r="U36" s="253"/>
      <c r="V36" s="223"/>
      <c r="W36" s="253"/>
      <c r="X36" s="223"/>
      <c r="Y36" s="253"/>
      <c r="Z36" s="223"/>
      <c r="AA36" s="312">
        <f ca="1">$C36*AA33</f>
        <v>-32272.301588611768</v>
      </c>
      <c r="AB36" s="143"/>
      <c r="AC36" s="131">
        <f t="shared" ca="1" si="1"/>
        <v>-32272.301588611768</v>
      </c>
      <c r="AD36" s="122"/>
    </row>
    <row r="37" spans="1:30" ht="15">
      <c r="A37" s="561"/>
      <c r="B37" s="215"/>
      <c r="C37" s="238"/>
      <c r="D37" s="237"/>
      <c r="E37" s="98"/>
      <c r="F37" s="225"/>
      <c r="G37" s="253"/>
      <c r="H37" s="223"/>
      <c r="I37" s="253"/>
      <c r="J37" s="223"/>
      <c r="K37" s="253"/>
      <c r="L37" s="223"/>
      <c r="M37" s="253"/>
      <c r="N37" s="223"/>
      <c r="O37" s="253"/>
      <c r="P37" s="223"/>
      <c r="Q37" s="253"/>
      <c r="R37" s="223"/>
      <c r="S37" s="253"/>
      <c r="T37" s="223"/>
      <c r="U37" s="253"/>
      <c r="V37" s="223"/>
      <c r="W37" s="253"/>
      <c r="X37" s="223"/>
      <c r="Y37" s="253"/>
      <c r="Z37" s="223"/>
      <c r="AA37" s="312"/>
      <c r="AB37" s="143"/>
      <c r="AC37" s="131">
        <f t="shared" si="1"/>
        <v>0</v>
      </c>
      <c r="AD37" s="122"/>
    </row>
    <row r="38" spans="1:30" ht="17.649999999999999">
      <c r="A38" s="561"/>
      <c r="B38" s="215"/>
      <c r="C38" s="238"/>
      <c r="D38" s="370" t="s">
        <v>65</v>
      </c>
      <c r="E38" s="98"/>
      <c r="F38" s="225"/>
      <c r="G38" s="253"/>
      <c r="H38" s="223"/>
      <c r="I38" s="253"/>
      <c r="J38" s="223"/>
      <c r="K38" s="253"/>
      <c r="L38" s="223"/>
      <c r="M38" s="253"/>
      <c r="N38" s="223"/>
      <c r="O38" s="253"/>
      <c r="P38" s="223"/>
      <c r="Q38" s="253"/>
      <c r="R38" s="223"/>
      <c r="S38" s="253"/>
      <c r="T38" s="223"/>
      <c r="U38" s="253"/>
      <c r="V38" s="223"/>
      <c r="W38" s="253"/>
      <c r="X38" s="223"/>
      <c r="Y38" s="253"/>
      <c r="Z38" s="223"/>
      <c r="AA38" s="312"/>
      <c r="AB38" s="143"/>
      <c r="AC38" s="131">
        <f t="shared" si="1"/>
        <v>0</v>
      </c>
      <c r="AD38" s="122"/>
    </row>
    <row r="39" spans="1:30" ht="15" outlineLevel="1">
      <c r="A39" s="561"/>
      <c r="B39" s="215"/>
      <c r="C39" s="245"/>
      <c r="D39" s="237" t="s">
        <v>49</v>
      </c>
      <c r="E39" s="121"/>
      <c r="F39" s="225">
        <f>+Amortization!AD4</f>
        <v>0</v>
      </c>
      <c r="G39" s="253"/>
      <c r="H39" s="223">
        <f>IF(H&lt;H$3,0,IF(SUM($F$39:G39)=0,0,SUMIFS(Amortization!$AK$18:$AK$497,Amortization!$AC$18:$AC$497,H$3)))</f>
        <v>0</v>
      </c>
      <c r="I39" s="253">
        <f>+IF(AND($D$45="Yes",$C$45=I$3),-SUM($F39:H39),0)</f>
        <v>0</v>
      </c>
      <c r="J39" s="223">
        <f>IF(H&lt;J$3,0,IF(SUM($F$39:I39)=0,0,SUMIFS(Amortization!$AK$18:$AK$497,Amortization!$AC$18:$AC$497,J$3)))</f>
        <v>0</v>
      </c>
      <c r="K39" s="253">
        <f>+IF(AND($D$45="Yes",$C$45=K$3),-SUM($F39:J39),0)</f>
        <v>0</v>
      </c>
      <c r="L39" s="223">
        <f>IF(H&lt;L$3,0,IF(SUM($F$39:K39)=0,0,SUMIFS(Amortization!$AK$18:$AK$497,Amortization!$AC$18:$AC$497,L$3)))</f>
        <v>0</v>
      </c>
      <c r="M39" s="253">
        <f>+IF(AND($D$45="Yes",$C$45=M$3),-SUM($F39:L39),0)</f>
        <v>0</v>
      </c>
      <c r="N39" s="223">
        <f>IF(H&lt;N$3,0,IF(SUM($F$39:M39)=0,0,SUMIFS(Amortization!$AK$18:$AK$497,Amortization!$AC$18:$AC$497,N$3)))</f>
        <v>0</v>
      </c>
      <c r="O39" s="253">
        <f>+IF(AND($D$45="Yes",$C$45=O$3),-SUM($F39:N39),0)</f>
        <v>0</v>
      </c>
      <c r="P39" s="223">
        <f>IF(H&lt;P$3,0,IF(SUM($F$39:O39)=0,0,SUMIFS(Amortization!$AK$18:$AK$497,Amortization!$AC$18:$AC$497,P$3)))</f>
        <v>0</v>
      </c>
      <c r="Q39" s="253">
        <f>+IF(AND($D$45="Yes",$C$45=Q$3),-SUM($F39:P39),0)</f>
        <v>0</v>
      </c>
      <c r="R39" s="223">
        <f>IF(H&lt;R$3,0,IF(SUM($F$39:Q39)=0,0,SUMIFS(Amortization!$AK$18:$AK$497,Amortization!$AC$18:$AC$497,R$3)))</f>
        <v>0</v>
      </c>
      <c r="S39" s="253">
        <f>+IF(AND($D$45="Yes",$C$45=S$3),-SUM($F39:R39),0)</f>
        <v>0</v>
      </c>
      <c r="T39" s="223">
        <f>IF(H&lt;T$3,0,IF(SUM($F$39:S39)=0,0,SUMIFS(Amortization!$AK$18:$AK$497,Amortization!$AC$18:$AC$497,T$3)))</f>
        <v>0</v>
      </c>
      <c r="U39" s="253">
        <f>+IF(AND($D$45="Yes",$C$45=U$3),-SUM($F39:T39),0)</f>
        <v>0</v>
      </c>
      <c r="V39" s="223">
        <f>IF(H&lt;V$3,0,IF(SUM($F$39:U39)=0,0,SUMIFS(Amortization!$AK$18:$AK$497,Amortization!$AC$18:$AC$497,V$3)))</f>
        <v>0</v>
      </c>
      <c r="W39" s="253">
        <f>+IF(AND($D$45="Yes",$C$45=W$3),-SUM($F39:V39),0)</f>
        <v>0</v>
      </c>
      <c r="X39" s="223">
        <f>IF(H&lt;X$3,0,IF(SUM($F$39:W39)=0,0,SUMIFS(Amortization!$AK$18:$AK$497,Amortization!$AC$18:$AC$497,X$3)))</f>
        <v>0</v>
      </c>
      <c r="Y39" s="253">
        <f>+IF(AND($D$45="Yes",$C$45=Y$3),-SUM($F39:X39),0)</f>
        <v>0</v>
      </c>
      <c r="Z39" s="223">
        <f>IF(H&lt;Z$3,0,IF(SUM($F$39:Y39)=0,0,SUMIFS(Amortization!$AK$18:$AK$497,Amortization!$AC$18:$AC$497,Z$3)))</f>
        <v>0</v>
      </c>
      <c r="AA39" s="312">
        <f>-SUM(F39:Z39)</f>
        <v>0</v>
      </c>
      <c r="AB39" s="224"/>
      <c r="AC39" s="131">
        <f t="shared" si="1"/>
        <v>0</v>
      </c>
      <c r="AD39" s="122"/>
    </row>
    <row r="40" spans="1:30" ht="15" outlineLevel="1">
      <c r="A40" s="561"/>
      <c r="B40" s="215"/>
      <c r="C40" s="245"/>
      <c r="D40" s="237" t="s">
        <v>84</v>
      </c>
      <c r="E40" s="121"/>
      <c r="F40" s="225"/>
      <c r="G40" s="253"/>
      <c r="H40" s="223">
        <f>IF(H&lt;H$3,0,IF(SUM($F$39:G39)=0,0,SUMIFS(Amortization!$AJ$18:$AJ$497,Amortization!$AC$18:$AC$497,H$3)))</f>
        <v>0</v>
      </c>
      <c r="I40" s="253"/>
      <c r="J40" s="223">
        <f>IF(H&lt;J$3,0,IF(SUM($F$39:I39)=0,0,SUMIFS(Amortization!$AJ$18:$AJ$497,Amortization!$AC$18:$AC$497,J$3)))</f>
        <v>0</v>
      </c>
      <c r="K40" s="253"/>
      <c r="L40" s="223">
        <f>IF(H&lt;L$3,0,IF(SUM($F$39:K39)=0,0,SUMIFS(Amortization!$AJ$18:$AJ$497,Amortization!$AC$18:$AC$497,L$3)))</f>
        <v>0</v>
      </c>
      <c r="M40" s="253"/>
      <c r="N40" s="223">
        <f>IF(H&lt;N$3,0,IF(SUM($F$39:M39)=0,0,SUMIFS(Amortization!$AJ$18:$AJ$497,Amortization!$AC$18:$AC$497,N$3)))</f>
        <v>0</v>
      </c>
      <c r="O40" s="253"/>
      <c r="P40" s="223">
        <f>IF(H&lt;P$3,0,IF(SUM($F$39:O39)=0,0,SUMIFS(Amortization!$AJ$18:$AJ$497,Amortization!$AC$18:$AC$497,P$3)))</f>
        <v>0</v>
      </c>
      <c r="Q40" s="253"/>
      <c r="R40" s="223">
        <f>IF(H&lt;R$3,0,IF(SUM($F$39:Q39)=0,0,SUMIFS(Amortization!$AJ$18:$AJ$497,Amortization!$AC$18:$AC$497,R$3)))</f>
        <v>0</v>
      </c>
      <c r="S40" s="253"/>
      <c r="T40" s="223">
        <f>IF(H&lt;T$3,0,IF(SUM($F$39:S39)=0,0,SUMIFS(Amortization!$AJ$18:$AJ$497,Amortization!$AC$18:$AC$497,T$3)))</f>
        <v>0</v>
      </c>
      <c r="U40" s="253"/>
      <c r="V40" s="223">
        <f>IF(H&lt;V$3,0,IF(SUM($F$39:U39)=0,0,SUMIFS(Amortization!$AJ$18:$AJ$497,Amortization!$AC$18:$AC$497,V$3)))</f>
        <v>0</v>
      </c>
      <c r="W40" s="253"/>
      <c r="X40" s="223">
        <f>IF(H&lt;X$3,0,IF(SUM($F$39:W39)=0,0,SUMIFS(Amortization!$AJ$18:$AJ$497,Amortization!$AC$18:$AC$497,X$3)))</f>
        <v>0</v>
      </c>
      <c r="Y40" s="253"/>
      <c r="Z40" s="223">
        <f>IF(H&lt;Z$3,0,IF(SUM($F$39:Y39)=0,0,SUMIFS(Amortization!$AJ$18:$AJ$497,Amortization!$AC$18:$AC$497,Z$3)))</f>
        <v>0</v>
      </c>
      <c r="AA40" s="312"/>
      <c r="AB40" s="224"/>
      <c r="AC40" s="131">
        <f t="shared" si="1"/>
        <v>0</v>
      </c>
      <c r="AD40" s="122"/>
    </row>
    <row r="41" spans="1:30" ht="15" outlineLevel="1">
      <c r="A41" s="561"/>
      <c r="B41" s="215"/>
      <c r="C41" s="248">
        <f>+C35</f>
        <v>6.0000000000000001E-3</v>
      </c>
      <c r="D41" s="237" t="s">
        <v>66</v>
      </c>
      <c r="E41" s="98"/>
      <c r="F41" s="225">
        <f>-$C39*C41</f>
        <v>0</v>
      </c>
      <c r="G41" s="253"/>
      <c r="H41" s="223"/>
      <c r="I41" s="253"/>
      <c r="J41" s="223"/>
      <c r="K41" s="253"/>
      <c r="L41" s="223"/>
      <c r="M41" s="253"/>
      <c r="N41" s="223"/>
      <c r="O41" s="253"/>
      <c r="P41" s="223"/>
      <c r="Q41" s="253"/>
      <c r="R41" s="223"/>
      <c r="S41" s="253"/>
      <c r="T41" s="223"/>
      <c r="U41" s="253"/>
      <c r="V41" s="223"/>
      <c r="W41" s="253"/>
      <c r="X41" s="223"/>
      <c r="Y41" s="253"/>
      <c r="Z41" s="223"/>
      <c r="AA41" s="312"/>
      <c r="AB41" s="143"/>
      <c r="AC41" s="131">
        <f t="shared" si="1"/>
        <v>0</v>
      </c>
      <c r="AD41" s="122"/>
    </row>
    <row r="42" spans="1:30" ht="15" outlineLevel="1">
      <c r="A42" s="561"/>
      <c r="B42" s="215"/>
      <c r="C42" s="248">
        <f>+C36</f>
        <v>0.01</v>
      </c>
      <c r="D42" s="237" t="s">
        <v>336</v>
      </c>
      <c r="E42" s="98"/>
      <c r="F42" s="225"/>
      <c r="G42" s="253"/>
      <c r="H42" s="223"/>
      <c r="I42" s="253"/>
      <c r="J42" s="223"/>
      <c r="K42" s="253"/>
      <c r="L42" s="223"/>
      <c r="M42" s="253"/>
      <c r="N42" s="223"/>
      <c r="O42" s="253"/>
      <c r="P42" s="223"/>
      <c r="Q42" s="253"/>
      <c r="R42" s="223"/>
      <c r="S42" s="253"/>
      <c r="T42" s="223"/>
      <c r="U42" s="253"/>
      <c r="V42" s="223"/>
      <c r="W42" s="253"/>
      <c r="X42" s="223"/>
      <c r="Y42" s="253"/>
      <c r="Z42" s="223"/>
      <c r="AA42" s="312">
        <f>$C42*AA39</f>
        <v>0</v>
      </c>
      <c r="AB42" s="143"/>
      <c r="AC42" s="131">
        <f t="shared" si="1"/>
        <v>0</v>
      </c>
      <c r="AD42" s="122"/>
    </row>
    <row r="43" spans="1:30" ht="15" outlineLevel="1">
      <c r="A43" s="561"/>
      <c r="B43" s="215"/>
      <c r="C43" s="238"/>
      <c r="D43" s="237"/>
      <c r="E43" s="98"/>
      <c r="F43" s="225"/>
      <c r="G43" s="253"/>
      <c r="H43" s="223"/>
      <c r="I43" s="253"/>
      <c r="J43" s="223"/>
      <c r="K43" s="253"/>
      <c r="L43" s="223"/>
      <c r="M43" s="253"/>
      <c r="N43" s="223"/>
      <c r="O43" s="253"/>
      <c r="P43" s="223"/>
      <c r="Q43" s="253"/>
      <c r="R43" s="223"/>
      <c r="S43" s="253"/>
      <c r="T43" s="223"/>
      <c r="U43" s="253"/>
      <c r="V43" s="223"/>
      <c r="W43" s="253"/>
      <c r="X43" s="223"/>
      <c r="Y43" s="253"/>
      <c r="Z43" s="223"/>
      <c r="AA43" s="312"/>
      <c r="AB43" s="143"/>
      <c r="AC43" s="131">
        <f t="shared" si="1"/>
        <v>0</v>
      </c>
      <c r="AD43" s="122"/>
    </row>
    <row r="44" spans="1:30" ht="17.649999999999999" outlineLevel="1">
      <c r="A44" s="561"/>
      <c r="B44" s="215"/>
      <c r="C44" s="238"/>
      <c r="D44" s="370" t="s">
        <v>231</v>
      </c>
      <c r="E44" s="98"/>
      <c r="F44" s="225"/>
      <c r="G44" s="253"/>
      <c r="H44" s="223"/>
      <c r="I44" s="253"/>
      <c r="J44" s="223"/>
      <c r="K44" s="253"/>
      <c r="L44" s="223"/>
      <c r="M44" s="253"/>
      <c r="N44" s="223"/>
      <c r="O44" s="253"/>
      <c r="P44" s="223"/>
      <c r="Q44" s="253"/>
      <c r="R44" s="223"/>
      <c r="S44" s="253"/>
      <c r="T44" s="223"/>
      <c r="U44" s="253"/>
      <c r="V44" s="223"/>
      <c r="W44" s="253"/>
      <c r="X44" s="223"/>
      <c r="Y44" s="253"/>
      <c r="Z44" s="223"/>
      <c r="AA44" s="312"/>
      <c r="AB44" s="143"/>
      <c r="AC44" s="131">
        <f t="shared" si="1"/>
        <v>0</v>
      </c>
      <c r="AD44" s="122"/>
    </row>
    <row r="45" spans="1:30" ht="15" outlineLevel="1">
      <c r="A45" s="561"/>
      <c r="B45" s="215"/>
      <c r="C45" s="246">
        <v>1.5</v>
      </c>
      <c r="D45" s="247" t="s">
        <v>415</v>
      </c>
      <c r="E45" s="121"/>
      <c r="F45" s="225"/>
      <c r="G45" s="253"/>
      <c r="H45" s="223"/>
      <c r="I45" s="253">
        <f>+IF(AND($D$45="Yes",$C$45=I$3),Amortization!$AO$4,0)</f>
        <v>0</v>
      </c>
      <c r="J45" s="223">
        <f>IF(H&lt;J$3,0,IF(SUM($F$45:I45)=0,0,IF($D$45="Yes",-LOOKUP(J$3,Amortization!$AT$5:$AT$15,Amortization!$AW$5:$AW$15))))</f>
        <v>0</v>
      </c>
      <c r="K45" s="253">
        <f>+IF(AND($D$45="Yes",$C$45=K$3),Amortization!$AO$4,0)</f>
        <v>0</v>
      </c>
      <c r="L45" s="223">
        <f>IF(H&lt;L$3,0,IF(SUM($F$45:K45)=0,0,IF($D$45="Yes",-LOOKUP(L$3,Amortization!$AT$5:$AT$15,Amortization!$AW$5:$AW$15))))</f>
        <v>0</v>
      </c>
      <c r="M45" s="253">
        <f>+IF(AND($D$45="Yes",$C$45=M$3),Amortization!$AO$4,0)</f>
        <v>0</v>
      </c>
      <c r="N45" s="223">
        <f>IF(H&lt;N$3,0,IF(SUM($F$45:M45)=0,0,IF($D$45="Yes",-LOOKUP(N$3,Amortization!$AT$5:$AT$15,Amortization!$AW$5:$AW$15))))</f>
        <v>0</v>
      </c>
      <c r="O45" s="253">
        <f>+IF(AND($D$45="Yes",$C$45=O$3),Amortization!$AO$4,0)</f>
        <v>0</v>
      </c>
      <c r="P45" s="223">
        <f>IF(H&lt;P$3,0,IF(SUM($F$45:O45)=0,0,IF($D$45="Yes",-LOOKUP(P$3,Amortization!$AT$5:$AT$15,Amortization!$AW$5:$AW$15))))</f>
        <v>0</v>
      </c>
      <c r="Q45" s="253">
        <f>+IF(AND($D$45="Yes",$C$45=Q$3),Amortization!$AO$4,0)</f>
        <v>0</v>
      </c>
      <c r="R45" s="223">
        <f>IF(H&lt;R$3,0,IF(SUM($F$45:Q45)=0,0,IF($D$45="Yes",-LOOKUP(R$3,Amortization!$AT$5:$AT$15,Amortization!$AW$5:$AW$15))))</f>
        <v>0</v>
      </c>
      <c r="S45" s="253">
        <f>+IF(AND($D$45="Yes",$C$45=S$3),Amortization!$AO$4,0)</f>
        <v>0</v>
      </c>
      <c r="T45" s="223">
        <f>IF(H&lt;T$3,0,IF(SUM($F$45:S45)=0,0,IF($D$45="Yes",-LOOKUP(T$3,Amortization!$AT$5:$AT$15,Amortization!$AW$5:$AW$15))))</f>
        <v>0</v>
      </c>
      <c r="U45" s="253">
        <f>+IF(AND($D$45="Yes",$C$45=U$3),Amortization!$AO$4,0)</f>
        <v>0</v>
      </c>
      <c r="V45" s="223">
        <f>IF(H&lt;V$3,0,IF(SUM($F$45:U45)=0,0,IF($D$45="Yes",-LOOKUP(V$3,Amortization!$AT$5:$AT$15,Amortization!$AW$5:$AW$15))))</f>
        <v>0</v>
      </c>
      <c r="W45" s="253">
        <f>+IF(AND($D$45="Yes",$C$45=W$3),Amortization!$AO$4,0)</f>
        <v>0</v>
      </c>
      <c r="X45" s="223">
        <f>IF(H&lt;X$3,0,IF(SUM($F$45:W45)=0,0,IF($D$45="Yes",-LOOKUP(X$3,Amortization!$AT$5:$AT$15,Amortization!$AW$5:$AW$15))))</f>
        <v>0</v>
      </c>
      <c r="Y45" s="253">
        <f>+IF(AND($D$45="Yes",$C$45=Y$3),Amortization!$AO$4,0)</f>
        <v>0</v>
      </c>
      <c r="Z45" s="223">
        <f>IF(H&lt;Z$3,0,IF(SUM($F$45:Y45)=0,0,IF($D$45="Yes",-LOOKUP(Z$3,Amortization!$AT$5:$AT$15,Amortization!$AW$5:$AW$15))))</f>
        <v>0</v>
      </c>
      <c r="AA45" s="312">
        <f>-SUM(F45:Z45)</f>
        <v>0</v>
      </c>
      <c r="AB45" s="224"/>
      <c r="AC45" s="131">
        <f t="shared" si="1"/>
        <v>0</v>
      </c>
      <c r="AD45" s="122"/>
    </row>
    <row r="46" spans="1:30" ht="15" outlineLevel="1">
      <c r="A46" s="561"/>
      <c r="B46" s="215"/>
      <c r="C46" s="239"/>
      <c r="D46" s="237"/>
      <c r="E46" s="121"/>
      <c r="F46" s="225"/>
      <c r="G46" s="253"/>
      <c r="H46" s="223"/>
      <c r="I46" s="253"/>
      <c r="J46" s="223">
        <f>IF(H&lt;J$3,0,IF(SUM($F$45:I45)=0,0,IF($D$45="Yes",-LOOKUP(J$3,Amortization!$AT$5:$AT$15,Amortization!$AV$5:$AV$15))))</f>
        <v>0</v>
      </c>
      <c r="K46" s="253"/>
      <c r="L46" s="223">
        <f>IF(H&lt;L$3,0,IF(SUM($F$45:K45)=0,0,IF($D$45="Yes",-LOOKUP(L$3,Amortization!$AT$5:$AT$15,Amortization!$AV$5:$AV$15))))</f>
        <v>0</v>
      </c>
      <c r="M46" s="253"/>
      <c r="N46" s="223">
        <f>IF(H&lt;N$3,0,IF(SUM($F$45:M45)=0,0,IF($D$45="Yes",-LOOKUP(N$3,Amortization!$AT$5:$AT$15,Amortization!$AV$5:$AV$15))))</f>
        <v>0</v>
      </c>
      <c r="O46" s="253"/>
      <c r="P46" s="223">
        <f>IF(H&lt;P$3,0,IF(SUM($F$45:O45)=0,0,IF($D$45="Yes",-LOOKUP(P$3,Amortization!$AT$5:$AT$15,Amortization!$AV$5:$AV$15))))</f>
        <v>0</v>
      </c>
      <c r="Q46" s="253"/>
      <c r="R46" s="223">
        <f>IF(H&lt;R$3,0,IF(SUM($F$45:Q45)=0,0,IF($D$45="Yes",-LOOKUP(R$3,Amortization!$AT$5:$AT$15,Amortization!$AV$5:$AV$15))))</f>
        <v>0</v>
      </c>
      <c r="S46" s="253"/>
      <c r="T46" s="223">
        <f>IF(H&lt;T$3,0,IF(SUM($F$45:S45)=0,0,IF($D$45="Yes",-LOOKUP(T$3,Amortization!$AT$5:$AT$15,Amortization!$AV$5:$AV$15))))</f>
        <v>0</v>
      </c>
      <c r="U46" s="253"/>
      <c r="V46" s="223">
        <f>IF(H&lt;V$3,0,IF(SUM($F$45:U45)=0,0,IF($D$45="Yes",-LOOKUP(V$3,Amortization!$AT$5:$AT$15,Amortization!$AV$5:$AV$15))))</f>
        <v>0</v>
      </c>
      <c r="W46" s="253"/>
      <c r="X46" s="223">
        <f>IF(H&lt;X$3,0,IF(SUM($F$45:W45)=0,0,IF($D$45="Yes",-LOOKUP(X$3,Amortization!$AT$5:$AT$15,Amortization!$AV$5:$AV$15))))</f>
        <v>0</v>
      </c>
      <c r="Y46" s="253"/>
      <c r="Z46" s="223">
        <f>IF(H&lt;Z$3,0,IF(SUM($F$45:Y45)=0,0,IF($D$45="Yes",-LOOKUP(Z$3,Amortization!$AT$5:$AT$15,Amortization!$AV$5:$AV$15))))</f>
        <v>0</v>
      </c>
      <c r="AA46" s="312"/>
      <c r="AB46" s="224"/>
      <c r="AC46" s="131">
        <f t="shared" si="1"/>
        <v>0</v>
      </c>
      <c r="AD46" s="122"/>
    </row>
    <row r="47" spans="1:30" ht="15" outlineLevel="1">
      <c r="A47" s="561"/>
      <c r="B47" s="215"/>
      <c r="C47" s="248">
        <f>+C35</f>
        <v>6.0000000000000001E-3</v>
      </c>
      <c r="D47" s="237" t="s">
        <v>66</v>
      </c>
      <c r="E47" s="98"/>
      <c r="F47" s="225"/>
      <c r="G47" s="253"/>
      <c r="H47" s="223"/>
      <c r="I47" s="253">
        <f>-I$45*$C47</f>
        <v>0</v>
      </c>
      <c r="J47" s="223"/>
      <c r="K47" s="253">
        <f>-K$45*$C47</f>
        <v>0</v>
      </c>
      <c r="L47" s="223"/>
      <c r="M47" s="253">
        <f>-M$45*$C47</f>
        <v>0</v>
      </c>
      <c r="N47" s="223"/>
      <c r="O47" s="253">
        <f>-O$45*$C47</f>
        <v>0</v>
      </c>
      <c r="P47" s="223"/>
      <c r="Q47" s="253">
        <f>-Q$45*$C47</f>
        <v>0</v>
      </c>
      <c r="R47" s="223"/>
      <c r="S47" s="253">
        <f>-S$45*$C47</f>
        <v>0</v>
      </c>
      <c r="T47" s="223"/>
      <c r="U47" s="253">
        <f>-U$45*$C47</f>
        <v>0</v>
      </c>
      <c r="V47" s="223"/>
      <c r="W47" s="253">
        <f>-W$45*$C47</f>
        <v>0</v>
      </c>
      <c r="X47" s="223"/>
      <c r="Y47" s="253">
        <f>-Y$45*$C47</f>
        <v>0</v>
      </c>
      <c r="Z47" s="223"/>
      <c r="AA47" s="312"/>
      <c r="AB47" s="143"/>
      <c r="AC47" s="131">
        <f t="shared" si="1"/>
        <v>0</v>
      </c>
      <c r="AD47" s="122"/>
    </row>
    <row r="48" spans="1:30" ht="15" outlineLevel="1">
      <c r="A48" s="561"/>
      <c r="B48" s="215"/>
      <c r="C48" s="248">
        <f>+C36</f>
        <v>0.01</v>
      </c>
      <c r="D48" s="237" t="s">
        <v>67</v>
      </c>
      <c r="E48" s="98"/>
      <c r="F48" s="225"/>
      <c r="G48" s="253"/>
      <c r="H48" s="223"/>
      <c r="I48" s="253"/>
      <c r="J48" s="223"/>
      <c r="K48" s="253"/>
      <c r="L48" s="223"/>
      <c r="M48" s="253"/>
      <c r="N48" s="223"/>
      <c r="O48" s="253"/>
      <c r="P48" s="223"/>
      <c r="Q48" s="253"/>
      <c r="R48" s="223"/>
      <c r="S48" s="253"/>
      <c r="T48" s="223"/>
      <c r="U48" s="253"/>
      <c r="V48" s="223"/>
      <c r="W48" s="253"/>
      <c r="X48" s="223"/>
      <c r="Y48" s="253"/>
      <c r="Z48" s="223"/>
      <c r="AA48" s="312">
        <f>$C48*AA45</f>
        <v>0</v>
      </c>
      <c r="AB48" s="143"/>
      <c r="AC48" s="131">
        <f t="shared" si="1"/>
        <v>0</v>
      </c>
      <c r="AD48" s="122"/>
    </row>
    <row r="49" spans="1:33" ht="15.4" thickBot="1">
      <c r="A49" s="561"/>
      <c r="B49" s="215"/>
      <c r="C49" s="240"/>
      <c r="D49" s="241"/>
      <c r="E49" s="99"/>
      <c r="F49" s="227"/>
      <c r="G49" s="255"/>
      <c r="H49" s="228"/>
      <c r="I49" s="255"/>
      <c r="J49" s="228"/>
      <c r="K49" s="255"/>
      <c r="L49" s="228"/>
      <c r="M49" s="255"/>
      <c r="N49" s="228"/>
      <c r="O49" s="255"/>
      <c r="P49" s="228"/>
      <c r="Q49" s="255"/>
      <c r="R49" s="228"/>
      <c r="S49" s="255"/>
      <c r="T49" s="228"/>
      <c r="U49" s="255"/>
      <c r="V49" s="228"/>
      <c r="W49" s="255"/>
      <c r="X49" s="228"/>
      <c r="Y49" s="255"/>
      <c r="Z49" s="228"/>
      <c r="AA49" s="313"/>
      <c r="AB49" s="229"/>
      <c r="AC49" s="230">
        <f t="shared" si="1"/>
        <v>0</v>
      </c>
      <c r="AD49" s="122"/>
    </row>
    <row r="50" spans="1:33" ht="17.649999999999999">
      <c r="A50" s="115"/>
      <c r="B50" s="215"/>
      <c r="C50" s="238"/>
      <c r="D50" s="370" t="s">
        <v>50</v>
      </c>
      <c r="E50" s="121"/>
      <c r="F50" s="226"/>
      <c r="G50" s="254"/>
      <c r="H50" s="223"/>
      <c r="I50" s="253"/>
      <c r="J50" s="223"/>
      <c r="K50" s="253"/>
      <c r="L50" s="223"/>
      <c r="M50" s="253"/>
      <c r="N50" s="223"/>
      <c r="O50" s="253"/>
      <c r="P50" s="223"/>
      <c r="Q50" s="253"/>
      <c r="R50" s="223"/>
      <c r="S50" s="253"/>
      <c r="T50" s="223"/>
      <c r="U50" s="253"/>
      <c r="V50" s="223"/>
      <c r="W50" s="253"/>
      <c r="X50" s="223"/>
      <c r="Y50" s="253"/>
      <c r="Z50" s="223"/>
      <c r="AA50" s="312"/>
      <c r="AB50" s="224"/>
      <c r="AC50" s="131">
        <f t="shared" si="1"/>
        <v>0</v>
      </c>
      <c r="AD50" s="122"/>
      <c r="AF50" s="332" t="s">
        <v>442</v>
      </c>
      <c r="AG50" s="5">
        <f>+P/U</f>
        <v>125000</v>
      </c>
    </row>
    <row r="51" spans="1:33" ht="15">
      <c r="A51" s="115"/>
      <c r="B51" s="215"/>
      <c r="C51" s="248">
        <v>0.06</v>
      </c>
      <c r="D51" s="237" t="s">
        <v>7</v>
      </c>
      <c r="E51" s="98"/>
      <c r="F51" s="225"/>
      <c r="G51" s="253"/>
      <c r="H51" s="223"/>
      <c r="I51" s="253"/>
      <c r="J51" s="223"/>
      <c r="K51" s="253"/>
      <c r="L51" s="223"/>
      <c r="M51" s="253"/>
      <c r="N51" s="223"/>
      <c r="O51" s="253"/>
      <c r="P51" s="223"/>
      <c r="Q51" s="253"/>
      <c r="R51" s="223"/>
      <c r="S51" s="253"/>
      <c r="T51" s="223"/>
      <c r="U51" s="253"/>
      <c r="V51" s="223"/>
      <c r="W51" s="253"/>
      <c r="X51" s="223"/>
      <c r="Y51" s="253"/>
      <c r="Z51" s="223"/>
      <c r="AA51" s="312">
        <f ca="1">+LOOKUP(C4+1,Cashflow!$D$4:$N$4,Cashflow!$D$108:$N$108)</f>
        <v>5865917.5534786619</v>
      </c>
      <c r="AB51" s="143"/>
      <c r="AC51" s="131">
        <f t="shared" ref="AC51:AC52" ca="1" si="5">+SUM(F51:AA51)</f>
        <v>5865917.5534786619</v>
      </c>
      <c r="AD51" s="122"/>
      <c r="AF51" s="332" t="s">
        <v>441</v>
      </c>
      <c r="AG51" s="5">
        <f ca="1">+AA51/U</f>
        <v>146647.93883696655</v>
      </c>
    </row>
    <row r="52" spans="1:33" ht="15.4" thickBot="1">
      <c r="A52" s="115"/>
      <c r="B52" s="215"/>
      <c r="C52" s="249">
        <v>0.01</v>
      </c>
      <c r="D52" s="250" t="s">
        <v>69</v>
      </c>
      <c r="E52" s="98"/>
      <c r="F52" s="233"/>
      <c r="G52" s="256"/>
      <c r="H52" s="234"/>
      <c r="I52" s="256"/>
      <c r="J52" s="234"/>
      <c r="K52" s="256"/>
      <c r="L52" s="234"/>
      <c r="M52" s="256"/>
      <c r="N52" s="234"/>
      <c r="O52" s="256"/>
      <c r="P52" s="234"/>
      <c r="Q52" s="256"/>
      <c r="R52" s="234"/>
      <c r="S52" s="256"/>
      <c r="T52" s="234"/>
      <c r="U52" s="256"/>
      <c r="V52" s="234"/>
      <c r="W52" s="256"/>
      <c r="X52" s="234"/>
      <c r="Y52" s="256"/>
      <c r="Z52" s="234"/>
      <c r="AA52" s="314">
        <f ca="1">-AA51*C52</f>
        <v>-58659.17553478662</v>
      </c>
      <c r="AB52" s="145"/>
      <c r="AC52" s="235">
        <f t="shared" ca="1" si="5"/>
        <v>-58659.17553478662</v>
      </c>
      <c r="AD52" s="122"/>
    </row>
    <row r="53" spans="1:33" ht="13.15" thickBot="1">
      <c r="A53" s="123"/>
      <c r="B53" s="161"/>
      <c r="C53" s="429"/>
      <c r="D53" s="127"/>
      <c r="E53" s="124"/>
      <c r="F53" s="125"/>
      <c r="G53" s="125"/>
      <c r="H53" s="125"/>
      <c r="I53" s="125"/>
      <c r="J53" s="125"/>
      <c r="K53" s="125"/>
      <c r="L53" s="125"/>
      <c r="M53" s="125"/>
      <c r="N53" s="125"/>
      <c r="O53" s="125"/>
      <c r="P53" s="125"/>
      <c r="Q53" s="125"/>
      <c r="R53" s="125"/>
      <c r="S53" s="125"/>
      <c r="T53" s="125"/>
      <c r="U53" s="125"/>
      <c r="V53" s="125"/>
      <c r="W53" s="125"/>
      <c r="X53" s="125"/>
      <c r="Y53" s="125"/>
      <c r="Z53" s="125"/>
      <c r="AA53" s="125"/>
      <c r="AB53" s="124"/>
      <c r="AC53" s="126"/>
      <c r="AD53" s="127"/>
    </row>
    <row r="54" spans="1:33" s="3" customFormat="1" ht="13.15" thickBot="1">
      <c r="C54" s="100"/>
      <c r="D54" s="101"/>
      <c r="F54" s="97"/>
      <c r="G54" s="97"/>
      <c r="H54" s="97"/>
      <c r="I54" s="97"/>
      <c r="J54" s="97"/>
      <c r="K54" s="97"/>
      <c r="L54" s="97"/>
      <c r="M54" s="97"/>
      <c r="N54" s="97"/>
      <c r="O54" s="97"/>
      <c r="P54" s="97"/>
      <c r="Q54" s="97"/>
      <c r="R54" s="97"/>
      <c r="S54" s="97"/>
      <c r="T54" s="97"/>
      <c r="U54" s="97"/>
      <c r="V54" s="97"/>
      <c r="W54" s="97"/>
      <c r="X54" s="97"/>
      <c r="Y54" s="97"/>
      <c r="Z54" s="97"/>
      <c r="AA54" s="97"/>
      <c r="AC54" s="102"/>
    </row>
    <row r="55" spans="1:33" s="3" customFormat="1" ht="21.4" thickTop="1" thickBot="1">
      <c r="C55" s="563" t="s">
        <v>250</v>
      </c>
      <c r="D55" s="564"/>
      <c r="F55" s="108">
        <f ca="1">+ROUND(SUM(F5:F52),0)</f>
        <v>-1386300</v>
      </c>
      <c r="G55" s="108">
        <f t="shared" ref="G55:Z55" si="6">IF(G$3&lt;=H,ROUND(SUM(G5:G52),0),0)</f>
        <v>0</v>
      </c>
      <c r="H55" s="108">
        <f t="shared" ca="1" si="6"/>
        <v>36650</v>
      </c>
      <c r="I55" s="108">
        <f t="shared" si="6"/>
        <v>0</v>
      </c>
      <c r="J55" s="108">
        <f t="shared" ca="1" si="6"/>
        <v>68047</v>
      </c>
      <c r="K55" s="108">
        <f t="shared" si="6"/>
        <v>0</v>
      </c>
      <c r="L55" s="108">
        <f t="shared" ca="1" si="6"/>
        <v>87229</v>
      </c>
      <c r="M55" s="108">
        <f t="shared" si="6"/>
        <v>0</v>
      </c>
      <c r="N55" s="108">
        <f t="shared" ca="1" si="6"/>
        <v>93462</v>
      </c>
      <c r="O55" s="108">
        <f t="shared" si="6"/>
        <v>0</v>
      </c>
      <c r="P55" s="108">
        <f t="shared" ca="1" si="6"/>
        <v>99814</v>
      </c>
      <c r="Q55" s="108">
        <f t="shared" si="6"/>
        <v>0</v>
      </c>
      <c r="R55" s="108">
        <f t="shared" ca="1" si="6"/>
        <v>106289</v>
      </c>
      <c r="S55" s="108">
        <f t="shared" si="6"/>
        <v>0</v>
      </c>
      <c r="T55" s="108">
        <f t="shared" ca="1" si="6"/>
        <v>112887</v>
      </c>
      <c r="U55" s="108">
        <f t="shared" si="6"/>
        <v>0</v>
      </c>
      <c r="V55" s="108">
        <f t="shared" si="6"/>
        <v>0</v>
      </c>
      <c r="W55" s="108">
        <f t="shared" si="6"/>
        <v>0</v>
      </c>
      <c r="X55" s="108">
        <f t="shared" si="6"/>
        <v>0</v>
      </c>
      <c r="Y55" s="108">
        <f t="shared" si="6"/>
        <v>0</v>
      </c>
      <c r="Z55" s="108">
        <f t="shared" si="6"/>
        <v>0</v>
      </c>
      <c r="AA55" s="108">
        <f ca="1">+ROUND(SUM(AA5:AA52),0)</f>
        <v>2575256</v>
      </c>
    </row>
    <row r="56" spans="1:33" s="103" customFormat="1" ht="17.649999999999999" thickTop="1">
      <c r="B56" s="216"/>
      <c r="C56" s="315" t="s">
        <v>233</v>
      </c>
      <c r="D56" s="316">
        <f ca="1">+AVERAGE(F56:Z56)</f>
        <v>6.2280685483455452E-2</v>
      </c>
      <c r="H56" s="105">
        <f ca="1">IFERROR(IF(H55=0,"-",H55/-SUMIF($F$55:$AA$55,"&lt;0")),"-")</f>
        <v>2.6437279088220442E-2</v>
      </c>
      <c r="I56" s="105"/>
      <c r="J56" s="105">
        <f ca="1">IFERROR(IF(J55=0,"-",J55/-SUMIF($F$55:$AA$55,"&lt;0")),"-")</f>
        <v>4.9085335064560337E-2</v>
      </c>
      <c r="K56" s="105"/>
      <c r="L56" s="105">
        <f ca="1">IFERROR(IF(L55=0,"-",L55/-SUMIF($F$55:$AA$55,"&lt;0")),"-")</f>
        <v>6.2922166919137268E-2</v>
      </c>
      <c r="M56" s="105"/>
      <c r="N56" s="105">
        <f ca="1">IFERROR(IF(N55=0,"-",N55/-SUMIF($F$55:$AA$55,"&lt;0")),"-")</f>
        <v>6.7418307725600521E-2</v>
      </c>
      <c r="O56" s="105"/>
      <c r="P56" s="105">
        <f ca="1">IFERROR(IF(P55=0,"-",P55/-SUMIF($F$55:$AA$55,"&lt;0")),"-")</f>
        <v>7.2000288537834523E-2</v>
      </c>
      <c r="Q56" s="105"/>
      <c r="R56" s="105">
        <f ca="1">IFERROR(IF(R55=0,"-",R55/-SUMIF($F$55:$AA$55,"&lt;0")),"-")</f>
        <v>7.6670994734184525E-2</v>
      </c>
      <c r="S56" s="105"/>
      <c r="T56" s="105">
        <f ca="1">IFERROR(IF(T55=0,"-",T55/-SUMIF($F$55:$AA$55,"&lt;0")),"-")</f>
        <v>8.1430426314650514E-2</v>
      </c>
      <c r="U56" s="105"/>
      <c r="V56" s="105" t="str">
        <f>IFERROR(IF(V55=0,"-",V55/-SUMIF($F$55:$AA$55,"&lt;0")),"-")</f>
        <v>-</v>
      </c>
      <c r="W56" s="105"/>
      <c r="X56" s="105" t="str">
        <f>IFERROR(IF(X55=0,"-",X55/-SUMIF($F$55:$AA$55,"&lt;0")),"-")</f>
        <v>-</v>
      </c>
      <c r="Y56" s="105"/>
      <c r="Z56" s="105" t="str">
        <f>IFERROR(IF(Z55=0,"-",Z55/-SUMIF($F$55:$AA$55,"&lt;0")),"-")</f>
        <v>-</v>
      </c>
      <c r="AA56" s="107"/>
    </row>
    <row r="57" spans="1:33" s="103" customFormat="1" ht="17.25">
      <c r="B57" s="216"/>
      <c r="C57" s="315" t="s">
        <v>235</v>
      </c>
      <c r="D57" s="316">
        <f ca="1">+AVERAGE(F57:Z57)</f>
        <v>6.2280685483455452E-2</v>
      </c>
      <c r="H57" s="105">
        <f ca="1">IFERROR(IF(H55=0,"-",H55/-G81),"-")</f>
        <v>2.6437279088220442E-2</v>
      </c>
      <c r="I57" s="105"/>
      <c r="J57" s="105">
        <f ca="1">IFERROR(IF(J55=0,"-",J55/-I81),"-")</f>
        <v>4.9085335064560337E-2</v>
      </c>
      <c r="K57" s="105"/>
      <c r="L57" s="105">
        <f ca="1">IFERROR(IF(L55=0,"-",L55/-K81),"-")</f>
        <v>6.2922166919137268E-2</v>
      </c>
      <c r="M57" s="105"/>
      <c r="N57" s="105">
        <f ca="1">IFERROR(IF(N55=0,"-",N55/-M81),"-")</f>
        <v>6.7418307725600521E-2</v>
      </c>
      <c r="O57" s="105"/>
      <c r="P57" s="105">
        <f ca="1">IFERROR(IF(P55=0,"-",P55/-O81),"-")</f>
        <v>7.2000288537834523E-2</v>
      </c>
      <c r="Q57" s="105"/>
      <c r="R57" s="105">
        <f ca="1">IFERROR(IF(R55=0,"-",R55/-Q81),"-")</f>
        <v>7.6670994734184525E-2</v>
      </c>
      <c r="S57" s="105"/>
      <c r="T57" s="105">
        <f ca="1">IFERROR(IF(T55=0,"-",T55/-S81),"-")</f>
        <v>8.1430426314650514E-2</v>
      </c>
      <c r="U57" s="105"/>
      <c r="V57" s="105" t="str">
        <f>IFERROR(IF(V55=0,"-",V55/-U81),"-")</f>
        <v>-</v>
      </c>
      <c r="W57" s="105"/>
      <c r="X57" s="105" t="str">
        <f>IFERROR(IF(X55=0,"-",X55/-W81),"-")</f>
        <v>-</v>
      </c>
      <c r="Y57" s="105"/>
      <c r="Z57" s="105" t="str">
        <f>IFERROR(IF(Z55=0,"-",Z55/-Y81),"-")</f>
        <v>-</v>
      </c>
      <c r="AA57" s="107"/>
    </row>
    <row r="58" spans="1:33" s="103" customFormat="1" ht="17.25">
      <c r="B58" s="216"/>
      <c r="C58" s="315" t="s">
        <v>234</v>
      </c>
      <c r="D58" s="317">
        <f ca="1">+SUMIF($F$96:$AA$96,"&gt;0")/-SUMIF($F$96:$AA$96,"&lt;0")</f>
        <v>1.864073072206593</v>
      </c>
      <c r="H58" s="105"/>
      <c r="I58" s="106"/>
      <c r="J58" s="105"/>
      <c r="K58" s="106"/>
      <c r="L58" s="105"/>
      <c r="M58" s="106"/>
      <c r="N58" s="105"/>
      <c r="O58" s="106"/>
      <c r="P58" s="105"/>
      <c r="Q58" s="106"/>
      <c r="R58" s="105"/>
      <c r="S58" s="106"/>
      <c r="T58" s="105"/>
      <c r="U58" s="106"/>
      <c r="V58" s="105"/>
      <c r="W58" s="106"/>
      <c r="X58" s="105"/>
      <c r="Y58" s="106"/>
      <c r="Z58" s="105"/>
      <c r="AA58" s="107"/>
    </row>
    <row r="59" spans="1:33" s="103" customFormat="1" ht="17.25">
      <c r="B59" s="216"/>
      <c r="C59" s="315" t="s">
        <v>232</v>
      </c>
      <c r="D59" s="316">
        <f ca="1">+XIRR(F55:AA55,F4:AA4)</f>
        <v>0.14131162762641908</v>
      </c>
      <c r="H59" s="107"/>
      <c r="I59" s="107"/>
      <c r="J59" s="107"/>
      <c r="K59" s="107"/>
      <c r="L59" s="107"/>
      <c r="M59" s="107"/>
      <c r="N59" s="107"/>
      <c r="O59" s="107"/>
      <c r="P59" s="107"/>
      <c r="Q59" s="107"/>
      <c r="R59" s="107"/>
      <c r="S59" s="107"/>
      <c r="T59" s="107"/>
      <c r="U59" s="107"/>
      <c r="V59" s="107"/>
      <c r="W59" s="107"/>
      <c r="X59" s="107"/>
      <c r="Y59" s="107"/>
      <c r="Z59" s="107"/>
      <c r="AA59" s="107"/>
    </row>
    <row r="60" spans="1:33" s="103" customFormat="1" ht="17.649999999999999" thickBot="1">
      <c r="B60" s="216"/>
      <c r="C60" s="318" t="s">
        <v>251</v>
      </c>
      <c r="D60" s="319">
        <f ca="1">+C96</f>
        <v>0.10617019534111025</v>
      </c>
      <c r="H60" s="107"/>
      <c r="I60" s="107"/>
      <c r="J60" s="107"/>
      <c r="K60" s="107"/>
      <c r="L60" s="107"/>
      <c r="M60" s="107"/>
      <c r="N60" s="107"/>
      <c r="O60" s="107"/>
      <c r="P60" s="107"/>
      <c r="Q60" s="107"/>
      <c r="R60" s="107"/>
      <c r="S60" s="107"/>
      <c r="T60" s="107"/>
      <c r="U60" s="107"/>
      <c r="V60" s="107"/>
      <c r="W60" s="107"/>
      <c r="X60" s="107"/>
      <c r="Y60" s="107"/>
      <c r="Z60" s="107"/>
      <c r="AA60" s="107"/>
    </row>
    <row r="61" spans="1:33" ht="13.5" thickTop="1" thickBot="1">
      <c r="B61" s="3"/>
      <c r="H61" s="5"/>
      <c r="I61" s="5"/>
      <c r="J61" s="5"/>
      <c r="K61" s="5"/>
      <c r="L61" s="5"/>
      <c r="M61" s="5"/>
      <c r="N61" s="5"/>
      <c r="O61" s="5"/>
      <c r="P61" s="5"/>
      <c r="Q61" s="5"/>
      <c r="R61" s="5"/>
      <c r="S61" s="5"/>
      <c r="T61" s="5"/>
      <c r="U61" s="5"/>
      <c r="V61" s="5"/>
      <c r="W61" s="5"/>
      <c r="X61" s="5"/>
      <c r="Y61" s="5"/>
      <c r="Z61" s="5"/>
      <c r="AA61" s="5"/>
    </row>
    <row r="62" spans="1:33" ht="17.25">
      <c r="B62" s="3"/>
      <c r="D62" s="297" t="s">
        <v>366</v>
      </c>
      <c r="F62" s="365">
        <f ca="1">+MAX(0,F55-F63)</f>
        <v>0</v>
      </c>
      <c r="G62" s="366">
        <f t="shared" ref="G62" si="7">+G55-G63</f>
        <v>0</v>
      </c>
      <c r="H62" s="366">
        <f ca="1">+MAX(0,H55-H63)</f>
        <v>36650</v>
      </c>
      <c r="I62" s="366">
        <f t="shared" ref="I62:AA62" si="8">+MAX(0,I55-I63)</f>
        <v>0</v>
      </c>
      <c r="J62" s="366">
        <f t="shared" ca="1" si="8"/>
        <v>68047</v>
      </c>
      <c r="K62" s="366">
        <f t="shared" si="8"/>
        <v>0</v>
      </c>
      <c r="L62" s="366">
        <f t="shared" ca="1" si="8"/>
        <v>87229</v>
      </c>
      <c r="M62" s="366">
        <f t="shared" si="8"/>
        <v>0</v>
      </c>
      <c r="N62" s="366">
        <f t="shared" ca="1" si="8"/>
        <v>93462</v>
      </c>
      <c r="O62" s="366">
        <f t="shared" si="8"/>
        <v>0</v>
      </c>
      <c r="P62" s="366">
        <f t="shared" ca="1" si="8"/>
        <v>99814</v>
      </c>
      <c r="Q62" s="366">
        <f t="shared" si="8"/>
        <v>0</v>
      </c>
      <c r="R62" s="366">
        <f t="shared" ca="1" si="8"/>
        <v>106289</v>
      </c>
      <c r="S62" s="366">
        <f t="shared" si="8"/>
        <v>0</v>
      </c>
      <c r="T62" s="366">
        <f t="shared" ca="1" si="8"/>
        <v>112887</v>
      </c>
      <c r="U62" s="366">
        <f t="shared" si="8"/>
        <v>0</v>
      </c>
      <c r="V62" s="366">
        <f t="shared" si="8"/>
        <v>0</v>
      </c>
      <c r="W62" s="366">
        <f t="shared" si="8"/>
        <v>0</v>
      </c>
      <c r="X62" s="366">
        <f t="shared" si="8"/>
        <v>0</v>
      </c>
      <c r="Y62" s="366">
        <f t="shared" si="8"/>
        <v>0</v>
      </c>
      <c r="Z62" s="366">
        <f t="shared" si="8"/>
        <v>0</v>
      </c>
      <c r="AA62" s="367">
        <f t="shared" ca="1" si="8"/>
        <v>0</v>
      </c>
      <c r="AB62" s="290"/>
    </row>
    <row r="63" spans="1:33" ht="17.649999999999999" thickBot="1">
      <c r="B63" s="3"/>
      <c r="D63" s="297" t="s">
        <v>367</v>
      </c>
      <c r="F63" s="302">
        <f>+IF(F66="Capital Event",F55,0)</f>
        <v>0</v>
      </c>
      <c r="G63" s="303">
        <f>+IF(G66="Capital Event",G55,0)</f>
        <v>0</v>
      </c>
      <c r="H63" s="303">
        <f ca="1">+IF(H66="Capital Event",H55,0)</f>
        <v>0</v>
      </c>
      <c r="I63" s="303">
        <f t="shared" ref="I63:AA63" si="9">+IF(I66="Capital Event",I55,0)</f>
        <v>0</v>
      </c>
      <c r="J63" s="303">
        <f t="shared" ca="1" si="9"/>
        <v>0</v>
      </c>
      <c r="K63" s="303">
        <f t="shared" si="9"/>
        <v>0</v>
      </c>
      <c r="L63" s="303">
        <f t="shared" ca="1" si="9"/>
        <v>0</v>
      </c>
      <c r="M63" s="303">
        <f t="shared" si="9"/>
        <v>0</v>
      </c>
      <c r="N63" s="303">
        <f t="shared" ca="1" si="9"/>
        <v>0</v>
      </c>
      <c r="O63" s="303">
        <f t="shared" si="9"/>
        <v>0</v>
      </c>
      <c r="P63" s="303">
        <f t="shared" ca="1" si="9"/>
        <v>0</v>
      </c>
      <c r="Q63" s="303">
        <f t="shared" si="9"/>
        <v>0</v>
      </c>
      <c r="R63" s="303">
        <f t="shared" ca="1" si="9"/>
        <v>0</v>
      </c>
      <c r="S63" s="303">
        <f t="shared" si="9"/>
        <v>0</v>
      </c>
      <c r="T63" s="303">
        <f t="shared" ca="1" si="9"/>
        <v>0</v>
      </c>
      <c r="U63" s="303">
        <f t="shared" si="9"/>
        <v>0</v>
      </c>
      <c r="V63" s="303">
        <f t="shared" si="9"/>
        <v>0</v>
      </c>
      <c r="W63" s="303">
        <f t="shared" si="9"/>
        <v>0</v>
      </c>
      <c r="X63" s="303">
        <f t="shared" si="9"/>
        <v>0</v>
      </c>
      <c r="Y63" s="303">
        <f t="shared" si="9"/>
        <v>0</v>
      </c>
      <c r="Z63" s="303">
        <f t="shared" si="9"/>
        <v>0</v>
      </c>
      <c r="AA63" s="304">
        <f t="shared" ca="1" si="9"/>
        <v>2575256</v>
      </c>
      <c r="AB63" s="290"/>
    </row>
    <row r="64" spans="1:33" ht="13.15" thickBot="1">
      <c r="B64" s="3"/>
      <c r="H64" s="5"/>
      <c r="I64" s="5"/>
      <c r="J64" s="5"/>
      <c r="K64" s="5"/>
      <c r="L64" s="5"/>
      <c r="M64" s="5"/>
      <c r="N64" s="5"/>
      <c r="O64" s="5"/>
      <c r="P64" s="5"/>
      <c r="Q64" s="5"/>
      <c r="R64" s="5"/>
      <c r="S64" s="5"/>
      <c r="T64" s="5"/>
      <c r="U64" s="5"/>
      <c r="V64" s="5"/>
      <c r="W64" s="5"/>
      <c r="X64" s="5"/>
      <c r="Y64" s="5"/>
      <c r="Z64" s="5"/>
      <c r="AA64" s="5"/>
    </row>
    <row r="65" spans="1:29" ht="18.75" customHeight="1">
      <c r="A65" s="565" t="str">
        <f ca="1">+A1</f>
        <v>Waterfall</v>
      </c>
      <c r="B65" s="566"/>
      <c r="C65" s="566"/>
      <c r="D65" s="137"/>
      <c r="E65" s="137"/>
      <c r="F65" s="497">
        <f>+F3</f>
        <v>0</v>
      </c>
      <c r="G65" s="138">
        <f t="shared" ref="G65:Z65" si="10">+ROUND(G3,0)</f>
        <v>1</v>
      </c>
      <c r="H65" s="138">
        <f t="shared" si="10"/>
        <v>1</v>
      </c>
      <c r="I65" s="138">
        <f t="shared" si="10"/>
        <v>2</v>
      </c>
      <c r="J65" s="138">
        <f t="shared" si="10"/>
        <v>2</v>
      </c>
      <c r="K65" s="138">
        <f t="shared" si="10"/>
        <v>3</v>
      </c>
      <c r="L65" s="138">
        <f t="shared" si="10"/>
        <v>3</v>
      </c>
      <c r="M65" s="138">
        <f t="shared" si="10"/>
        <v>4</v>
      </c>
      <c r="N65" s="138">
        <f t="shared" si="10"/>
        <v>4</v>
      </c>
      <c r="O65" s="138">
        <f t="shared" si="10"/>
        <v>5</v>
      </c>
      <c r="P65" s="138">
        <f t="shared" si="10"/>
        <v>5</v>
      </c>
      <c r="Q65" s="138">
        <f t="shared" si="10"/>
        <v>6</v>
      </c>
      <c r="R65" s="138">
        <f t="shared" si="10"/>
        <v>6</v>
      </c>
      <c r="S65" s="138">
        <f t="shared" si="10"/>
        <v>7</v>
      </c>
      <c r="T65" s="138">
        <f t="shared" si="10"/>
        <v>7</v>
      </c>
      <c r="U65" s="138">
        <f t="shared" si="10"/>
        <v>8</v>
      </c>
      <c r="V65" s="138">
        <f t="shared" si="10"/>
        <v>8</v>
      </c>
      <c r="W65" s="138">
        <f t="shared" si="10"/>
        <v>9</v>
      </c>
      <c r="X65" s="138">
        <f t="shared" si="10"/>
        <v>9</v>
      </c>
      <c r="Y65" s="138">
        <f t="shared" si="10"/>
        <v>10</v>
      </c>
      <c r="Z65" s="138">
        <f t="shared" si="10"/>
        <v>10</v>
      </c>
      <c r="AA65" s="138" t="str">
        <f>+AA3</f>
        <v>Exit</v>
      </c>
      <c r="AB65" s="114"/>
    </row>
    <row r="66" spans="1:29" ht="19.5" customHeight="1" thickBot="1">
      <c r="A66" s="567"/>
      <c r="B66" s="568"/>
      <c r="C66" s="568"/>
      <c r="D66" s="98"/>
      <c r="E66" s="98"/>
      <c r="F66" s="139"/>
      <c r="G66" s="140" t="str">
        <f t="shared" ref="G66:AA66" si="11">+IF(OR(G51&gt;0,AND(G$3&lt;H,G$55&lt;0)),"Capital Event","")</f>
        <v/>
      </c>
      <c r="H66" s="140" t="str">
        <f t="shared" ca="1" si="11"/>
        <v/>
      </c>
      <c r="I66" s="140" t="str">
        <f t="shared" si="11"/>
        <v/>
      </c>
      <c r="J66" s="140" t="str">
        <f t="shared" ca="1" si="11"/>
        <v/>
      </c>
      <c r="K66" s="140" t="str">
        <f t="shared" si="11"/>
        <v/>
      </c>
      <c r="L66" s="140" t="str">
        <f t="shared" ca="1" si="11"/>
        <v/>
      </c>
      <c r="M66" s="140" t="str">
        <f t="shared" si="11"/>
        <v/>
      </c>
      <c r="N66" s="140" t="str">
        <f t="shared" ca="1" si="11"/>
        <v/>
      </c>
      <c r="O66" s="140" t="str">
        <f t="shared" si="11"/>
        <v/>
      </c>
      <c r="P66" s="140" t="str">
        <f t="shared" ca="1" si="11"/>
        <v/>
      </c>
      <c r="Q66" s="140" t="str">
        <f t="shared" si="11"/>
        <v/>
      </c>
      <c r="R66" s="140" t="str">
        <f t="shared" ca="1" si="11"/>
        <v/>
      </c>
      <c r="S66" s="140" t="str">
        <f t="shared" si="11"/>
        <v/>
      </c>
      <c r="T66" s="140" t="str">
        <f t="shared" ca="1" si="11"/>
        <v/>
      </c>
      <c r="U66" s="140" t="str">
        <f t="shared" si="11"/>
        <v/>
      </c>
      <c r="V66" s="140" t="str">
        <f t="shared" si="11"/>
        <v/>
      </c>
      <c r="W66" s="140" t="str">
        <f t="shared" si="11"/>
        <v/>
      </c>
      <c r="X66" s="140" t="str">
        <f t="shared" si="11"/>
        <v/>
      </c>
      <c r="Y66" s="140" t="str">
        <f t="shared" si="11"/>
        <v/>
      </c>
      <c r="Z66" s="140" t="str">
        <f t="shared" si="11"/>
        <v/>
      </c>
      <c r="AA66" s="140" t="str">
        <f t="shared" ca="1" si="11"/>
        <v>Capital Event</v>
      </c>
      <c r="AB66" s="122"/>
    </row>
    <row r="67" spans="1:29" s="103" customFormat="1" ht="18.75" customHeight="1">
      <c r="A67" s="285"/>
      <c r="B67" s="286"/>
      <c r="D67" s="297" t="s">
        <v>353</v>
      </c>
      <c r="E67" s="143"/>
      <c r="F67" s="298"/>
      <c r="G67" s="299"/>
      <c r="H67" s="128"/>
      <c r="I67" s="128"/>
      <c r="J67" s="128"/>
      <c r="K67" s="128"/>
      <c r="L67" s="128"/>
      <c r="M67" s="128"/>
      <c r="N67" s="128"/>
      <c r="O67" s="128"/>
      <c r="P67" s="128"/>
      <c r="Q67" s="128"/>
      <c r="R67" s="128"/>
      <c r="S67" s="128"/>
      <c r="T67" s="128"/>
      <c r="U67" s="128"/>
      <c r="V67" s="128"/>
      <c r="W67" s="128"/>
      <c r="X67" s="128"/>
      <c r="Y67" s="128"/>
      <c r="Z67" s="128"/>
      <c r="AA67" s="129"/>
      <c r="AB67" s="287"/>
    </row>
    <row r="68" spans="1:29" s="103" customFormat="1" ht="15">
      <c r="A68" s="285"/>
      <c r="B68" s="286"/>
      <c r="D68" s="289" t="s">
        <v>354</v>
      </c>
      <c r="E68" s="143"/>
      <c r="F68" s="291">
        <v>0</v>
      </c>
      <c r="G68" s="290">
        <f>+F72</f>
        <v>0</v>
      </c>
      <c r="H68" s="290">
        <f t="shared" ref="H68:AA68" si="12">+G72</f>
        <v>0</v>
      </c>
      <c r="I68" s="290">
        <f t="shared" si="12"/>
        <v>0</v>
      </c>
      <c r="J68" s="290">
        <f t="shared" si="12"/>
        <v>0</v>
      </c>
      <c r="K68" s="290">
        <f t="shared" si="12"/>
        <v>0</v>
      </c>
      <c r="L68" s="290">
        <f t="shared" si="12"/>
        <v>0</v>
      </c>
      <c r="M68" s="290">
        <f t="shared" si="12"/>
        <v>0</v>
      </c>
      <c r="N68" s="290">
        <f t="shared" si="12"/>
        <v>0</v>
      </c>
      <c r="O68" s="290">
        <f t="shared" si="12"/>
        <v>0</v>
      </c>
      <c r="P68" s="290">
        <f t="shared" si="12"/>
        <v>0</v>
      </c>
      <c r="Q68" s="290">
        <f t="shared" si="12"/>
        <v>0</v>
      </c>
      <c r="R68" s="290">
        <f t="shared" si="12"/>
        <v>0</v>
      </c>
      <c r="S68" s="290">
        <f t="shared" si="12"/>
        <v>0</v>
      </c>
      <c r="T68" s="290">
        <f t="shared" si="12"/>
        <v>0</v>
      </c>
      <c r="U68" s="290">
        <f t="shared" si="12"/>
        <v>0</v>
      </c>
      <c r="V68" s="290">
        <f t="shared" si="12"/>
        <v>0</v>
      </c>
      <c r="W68" s="290">
        <f t="shared" si="12"/>
        <v>0</v>
      </c>
      <c r="X68" s="290">
        <f t="shared" si="12"/>
        <v>0</v>
      </c>
      <c r="Y68" s="290">
        <f t="shared" si="12"/>
        <v>0</v>
      </c>
      <c r="Z68" s="290">
        <f t="shared" si="12"/>
        <v>0</v>
      </c>
      <c r="AA68" s="131">
        <f t="shared" si="12"/>
        <v>0</v>
      </c>
      <c r="AB68" s="287"/>
    </row>
    <row r="69" spans="1:29" s="103" customFormat="1" ht="15">
      <c r="A69" s="285"/>
      <c r="B69" s="286"/>
      <c r="C69" s="284">
        <f>+Dashboard!$G$14</f>
        <v>0.08</v>
      </c>
      <c r="D69" s="289" t="s">
        <v>364</v>
      </c>
      <c r="E69" s="143"/>
      <c r="F69" s="132"/>
      <c r="G69" s="104">
        <f t="shared" ref="G69:Z69" si="13">+IF(AND(G$3&lt;=H,G65=G3),F81*$C$69,0)</f>
        <v>0</v>
      </c>
      <c r="H69" s="104">
        <f t="shared" ca="1" si="13"/>
        <v>-110904</v>
      </c>
      <c r="I69" s="104">
        <f t="shared" si="13"/>
        <v>0</v>
      </c>
      <c r="J69" s="104">
        <f t="shared" ca="1" si="13"/>
        <v>-110904</v>
      </c>
      <c r="K69" s="104">
        <f t="shared" si="13"/>
        <v>0</v>
      </c>
      <c r="L69" s="104">
        <f t="shared" ca="1" si="13"/>
        <v>-110904</v>
      </c>
      <c r="M69" s="104">
        <f t="shared" si="13"/>
        <v>0</v>
      </c>
      <c r="N69" s="104">
        <f t="shared" ca="1" si="13"/>
        <v>-110904</v>
      </c>
      <c r="O69" s="104">
        <f t="shared" si="13"/>
        <v>0</v>
      </c>
      <c r="P69" s="104">
        <f t="shared" ca="1" si="13"/>
        <v>-110904</v>
      </c>
      <c r="Q69" s="104">
        <f t="shared" si="13"/>
        <v>0</v>
      </c>
      <c r="R69" s="104">
        <f t="shared" ca="1" si="13"/>
        <v>-110904</v>
      </c>
      <c r="S69" s="104">
        <f t="shared" si="13"/>
        <v>0</v>
      </c>
      <c r="T69" s="104">
        <f t="shared" ca="1" si="13"/>
        <v>-110904</v>
      </c>
      <c r="U69" s="104">
        <f t="shared" si="13"/>
        <v>0</v>
      </c>
      <c r="V69" s="104">
        <f t="shared" si="13"/>
        <v>0</v>
      </c>
      <c r="W69" s="104">
        <f t="shared" si="13"/>
        <v>0</v>
      </c>
      <c r="X69" s="104">
        <f t="shared" si="13"/>
        <v>0</v>
      </c>
      <c r="Y69" s="104">
        <f t="shared" si="13"/>
        <v>0</v>
      </c>
      <c r="Z69" s="104">
        <f t="shared" si="13"/>
        <v>0</v>
      </c>
      <c r="AA69" s="133"/>
      <c r="AB69" s="287"/>
    </row>
    <row r="70" spans="1:29" s="103" customFormat="1" ht="15">
      <c r="A70" s="285"/>
      <c r="B70" s="286"/>
      <c r="C70" s="141"/>
      <c r="D70" s="289" t="s">
        <v>365</v>
      </c>
      <c r="E70" s="143"/>
      <c r="F70" s="132"/>
      <c r="G70" s="104">
        <f>+IF(AND(G$3&lt;=H,G65=G3),MIN(-SUM(G68:G69),MAX(0,G62)),0)</f>
        <v>0</v>
      </c>
      <c r="H70" s="104">
        <f t="shared" ref="H70:Z70" ca="1" si="14">+IF(AND(H$3&lt;=H,H65=H3),MIN(-SUM(H68:H69),MAX(0,H55)),0)</f>
        <v>36650</v>
      </c>
      <c r="I70" s="104">
        <f t="shared" si="14"/>
        <v>0</v>
      </c>
      <c r="J70" s="104">
        <f t="shared" ca="1" si="14"/>
        <v>68047</v>
      </c>
      <c r="K70" s="104">
        <f t="shared" si="14"/>
        <v>0</v>
      </c>
      <c r="L70" s="104">
        <f t="shared" ca="1" si="14"/>
        <v>87229</v>
      </c>
      <c r="M70" s="104">
        <f t="shared" si="14"/>
        <v>0</v>
      </c>
      <c r="N70" s="104">
        <f t="shared" ca="1" si="14"/>
        <v>93462</v>
      </c>
      <c r="O70" s="104">
        <f t="shared" si="14"/>
        <v>0</v>
      </c>
      <c r="P70" s="104">
        <f t="shared" ca="1" si="14"/>
        <v>99814</v>
      </c>
      <c r="Q70" s="104">
        <f t="shared" si="14"/>
        <v>0</v>
      </c>
      <c r="R70" s="104">
        <f t="shared" ca="1" si="14"/>
        <v>106289</v>
      </c>
      <c r="S70" s="104">
        <f t="shared" si="14"/>
        <v>0</v>
      </c>
      <c r="T70" s="104">
        <f t="shared" ca="1" si="14"/>
        <v>110904</v>
      </c>
      <c r="U70" s="104">
        <f t="shared" si="14"/>
        <v>0</v>
      </c>
      <c r="V70" s="104">
        <f t="shared" si="14"/>
        <v>0</v>
      </c>
      <c r="W70" s="104">
        <f t="shared" si="14"/>
        <v>0</v>
      </c>
      <c r="X70" s="104">
        <f t="shared" si="14"/>
        <v>0</v>
      </c>
      <c r="Y70" s="104">
        <f t="shared" si="14"/>
        <v>0</v>
      </c>
      <c r="Z70" s="104">
        <f t="shared" si="14"/>
        <v>0</v>
      </c>
      <c r="AA70" s="131">
        <f ca="1">+MIN(-SUM(AA68:AA69),MAX(0,SUM(AA62:AA63)))</f>
        <v>0</v>
      </c>
      <c r="AB70" s="287"/>
    </row>
    <row r="71" spans="1:29" s="103" customFormat="1" ht="15">
      <c r="A71" s="285"/>
      <c r="B71" s="286"/>
      <c r="C71" s="300" t="s">
        <v>415</v>
      </c>
      <c r="D71" s="289" t="s">
        <v>355</v>
      </c>
      <c r="E71" s="143"/>
      <c r="F71" s="130">
        <f>+IF($C$71="Yes",IF(SUM(F69:F70)&gt;0,0,SUM(F69:F70)),IF($C$71="No",0,0))</f>
        <v>0</v>
      </c>
      <c r="G71" s="104">
        <f t="shared" ref="G71:Z71" si="15">+IF($C$71="Yes",IF(SUM(G69:G70)&gt;0,0,SUM(G69:G70)),IF($C$71="No",0,0))</f>
        <v>0</v>
      </c>
      <c r="H71" s="104">
        <f t="shared" si="15"/>
        <v>0</v>
      </c>
      <c r="I71" s="104">
        <f t="shared" si="15"/>
        <v>0</v>
      </c>
      <c r="J71" s="104">
        <f t="shared" si="15"/>
        <v>0</v>
      </c>
      <c r="K71" s="104">
        <f t="shared" si="15"/>
        <v>0</v>
      </c>
      <c r="L71" s="104">
        <f t="shared" si="15"/>
        <v>0</v>
      </c>
      <c r="M71" s="104">
        <f t="shared" si="15"/>
        <v>0</v>
      </c>
      <c r="N71" s="104">
        <f t="shared" si="15"/>
        <v>0</v>
      </c>
      <c r="O71" s="104">
        <f t="shared" si="15"/>
        <v>0</v>
      </c>
      <c r="P71" s="104">
        <f t="shared" si="15"/>
        <v>0</v>
      </c>
      <c r="Q71" s="104">
        <f t="shared" si="15"/>
        <v>0</v>
      </c>
      <c r="R71" s="104">
        <f t="shared" si="15"/>
        <v>0</v>
      </c>
      <c r="S71" s="104">
        <f t="shared" si="15"/>
        <v>0</v>
      </c>
      <c r="T71" s="104">
        <f t="shared" si="15"/>
        <v>0</v>
      </c>
      <c r="U71" s="104">
        <f t="shared" si="15"/>
        <v>0</v>
      </c>
      <c r="V71" s="104">
        <f t="shared" si="15"/>
        <v>0</v>
      </c>
      <c r="W71" s="104">
        <f t="shared" si="15"/>
        <v>0</v>
      </c>
      <c r="X71" s="104">
        <f t="shared" si="15"/>
        <v>0</v>
      </c>
      <c r="Y71" s="104">
        <f t="shared" si="15"/>
        <v>0</v>
      </c>
      <c r="Z71" s="104">
        <f t="shared" si="15"/>
        <v>0</v>
      </c>
      <c r="AA71" s="133"/>
      <c r="AB71" s="287"/>
    </row>
    <row r="72" spans="1:29" s="103" customFormat="1" ht="15.4" thickBot="1">
      <c r="A72" s="285"/>
      <c r="B72" s="286"/>
      <c r="C72" s="144"/>
      <c r="D72" s="289" t="s">
        <v>358</v>
      </c>
      <c r="E72" s="143"/>
      <c r="F72" s="294">
        <f>+F68+F71</f>
        <v>0</v>
      </c>
      <c r="G72" s="295">
        <f t="shared" ref="G72" si="16">+G68+G71</f>
        <v>0</v>
      </c>
      <c r="H72" s="295">
        <f>+IF($C$71="No",H68+H71,SUM(H68:H70))</f>
        <v>0</v>
      </c>
      <c r="I72" s="295">
        <f t="shared" ref="I72:Z72" si="17">+IF($C$71="No",I68+I71,SUM(I68:I70))</f>
        <v>0</v>
      </c>
      <c r="J72" s="295">
        <f t="shared" si="17"/>
        <v>0</v>
      </c>
      <c r="K72" s="295">
        <f t="shared" si="17"/>
        <v>0</v>
      </c>
      <c r="L72" s="295">
        <f t="shared" si="17"/>
        <v>0</v>
      </c>
      <c r="M72" s="295">
        <f t="shared" si="17"/>
        <v>0</v>
      </c>
      <c r="N72" s="295">
        <f t="shared" si="17"/>
        <v>0</v>
      </c>
      <c r="O72" s="295">
        <f t="shared" si="17"/>
        <v>0</v>
      </c>
      <c r="P72" s="295">
        <f t="shared" si="17"/>
        <v>0</v>
      </c>
      <c r="Q72" s="295">
        <f t="shared" si="17"/>
        <v>0</v>
      </c>
      <c r="R72" s="295">
        <f t="shared" si="17"/>
        <v>0</v>
      </c>
      <c r="S72" s="295">
        <f t="shared" si="17"/>
        <v>0</v>
      </c>
      <c r="T72" s="295">
        <f t="shared" si="17"/>
        <v>0</v>
      </c>
      <c r="U72" s="295">
        <f t="shared" si="17"/>
        <v>0</v>
      </c>
      <c r="V72" s="295">
        <f t="shared" si="17"/>
        <v>0</v>
      </c>
      <c r="W72" s="295">
        <f t="shared" si="17"/>
        <v>0</v>
      </c>
      <c r="X72" s="295">
        <f t="shared" si="17"/>
        <v>0</v>
      </c>
      <c r="Y72" s="295">
        <f t="shared" si="17"/>
        <v>0</v>
      </c>
      <c r="Z72" s="295">
        <f t="shared" si="17"/>
        <v>0</v>
      </c>
      <c r="AA72" s="305">
        <f ca="1">+SUM(AA68:AA70)</f>
        <v>0</v>
      </c>
      <c r="AB72" s="287"/>
    </row>
    <row r="73" spans="1:29" s="103" customFormat="1" ht="15.4" thickBot="1">
      <c r="A73" s="285"/>
      <c r="B73" s="286"/>
      <c r="C73" s="141"/>
      <c r="D73" s="289"/>
      <c r="E73" s="143"/>
      <c r="F73" s="130"/>
      <c r="G73" s="104"/>
      <c r="H73" s="104"/>
      <c r="I73" s="104"/>
      <c r="J73" s="104"/>
      <c r="K73" s="104"/>
      <c r="L73" s="104"/>
      <c r="M73" s="104"/>
      <c r="N73" s="104"/>
      <c r="O73" s="104"/>
      <c r="P73" s="104"/>
      <c r="Q73" s="104"/>
      <c r="R73" s="104"/>
      <c r="S73" s="104"/>
      <c r="T73" s="104"/>
      <c r="U73" s="104"/>
      <c r="V73" s="104"/>
      <c r="W73" s="104"/>
      <c r="X73" s="104"/>
      <c r="Y73" s="104"/>
      <c r="Z73" s="104"/>
      <c r="AA73" s="131"/>
      <c r="AB73" s="287"/>
    </row>
    <row r="74" spans="1:29" s="103" customFormat="1" ht="17.25">
      <c r="A74" s="285"/>
      <c r="B74" s="286"/>
      <c r="C74" s="144"/>
      <c r="D74" s="297" t="s">
        <v>366</v>
      </c>
      <c r="E74" s="143"/>
      <c r="F74" s="362">
        <f t="shared" ref="F74:H74" ca="1" si="18">+IF(F62&gt;0,MAX(0,F62-F70+F71),0)</f>
        <v>0</v>
      </c>
      <c r="G74" s="363">
        <f t="shared" si="18"/>
        <v>0</v>
      </c>
      <c r="H74" s="363">
        <f t="shared" ca="1" si="18"/>
        <v>0</v>
      </c>
      <c r="I74" s="363">
        <f>+IF(I62&gt;0,MAX(0,I62-I70+I71),0)</f>
        <v>0</v>
      </c>
      <c r="J74" s="363">
        <f t="shared" ref="J74:Z74" ca="1" si="19">+IF(J62&gt;0,MAX(0,J62-J70+J71),0)</f>
        <v>0</v>
      </c>
      <c r="K74" s="363">
        <f t="shared" si="19"/>
        <v>0</v>
      </c>
      <c r="L74" s="363">
        <f t="shared" ca="1" si="19"/>
        <v>0</v>
      </c>
      <c r="M74" s="363">
        <f t="shared" si="19"/>
        <v>0</v>
      </c>
      <c r="N74" s="363">
        <f t="shared" ca="1" si="19"/>
        <v>0</v>
      </c>
      <c r="O74" s="363">
        <f t="shared" si="19"/>
        <v>0</v>
      </c>
      <c r="P74" s="363">
        <f t="shared" ca="1" si="19"/>
        <v>0</v>
      </c>
      <c r="Q74" s="363">
        <f t="shared" si="19"/>
        <v>0</v>
      </c>
      <c r="R74" s="363">
        <f t="shared" ca="1" si="19"/>
        <v>0</v>
      </c>
      <c r="S74" s="363">
        <f t="shared" si="19"/>
        <v>0</v>
      </c>
      <c r="T74" s="363">
        <f t="shared" ca="1" si="19"/>
        <v>1983</v>
      </c>
      <c r="U74" s="363">
        <f t="shared" si="19"/>
        <v>0</v>
      </c>
      <c r="V74" s="363">
        <f t="shared" si="19"/>
        <v>0</v>
      </c>
      <c r="W74" s="363">
        <f t="shared" si="19"/>
        <v>0</v>
      </c>
      <c r="X74" s="363">
        <f t="shared" si="19"/>
        <v>0</v>
      </c>
      <c r="Y74" s="363">
        <f t="shared" si="19"/>
        <v>0</v>
      </c>
      <c r="Z74" s="363">
        <f t="shared" si="19"/>
        <v>0</v>
      </c>
      <c r="AA74" s="364">
        <f t="shared" ref="AA74" ca="1" si="20">+IF(AA62&gt;0,MAX(0,AA62-AA70+AA71),0)</f>
        <v>0</v>
      </c>
      <c r="AB74" s="287"/>
    </row>
    <row r="75" spans="1:29" s="103" customFormat="1" ht="17.649999999999999" thickBot="1">
      <c r="A75" s="285"/>
      <c r="B75" s="286"/>
      <c r="C75" s="144"/>
      <c r="D75" s="297" t="s">
        <v>367</v>
      </c>
      <c r="E75" s="143"/>
      <c r="F75" s="357">
        <f>+IF(F63&gt;0,MAX(0,F63-F70+F71),0)</f>
        <v>0</v>
      </c>
      <c r="G75" s="358">
        <f t="shared" ref="G75:Z75" si="21">+IF(G63&gt;0,MAX(0,G63-G70+G71),0)</f>
        <v>0</v>
      </c>
      <c r="H75" s="358">
        <f t="shared" ca="1" si="21"/>
        <v>0</v>
      </c>
      <c r="I75" s="358">
        <f>+IF(I63&gt;0,MAX(0,I63-I70+I71),0)</f>
        <v>0</v>
      </c>
      <c r="J75" s="358">
        <f t="shared" ca="1" si="21"/>
        <v>0</v>
      </c>
      <c r="K75" s="358">
        <f t="shared" si="21"/>
        <v>0</v>
      </c>
      <c r="L75" s="358">
        <f t="shared" ca="1" si="21"/>
        <v>0</v>
      </c>
      <c r="M75" s="358">
        <f t="shared" si="21"/>
        <v>0</v>
      </c>
      <c r="N75" s="358">
        <f t="shared" ca="1" si="21"/>
        <v>0</v>
      </c>
      <c r="O75" s="358">
        <f t="shared" si="21"/>
        <v>0</v>
      </c>
      <c r="P75" s="358">
        <f t="shared" ca="1" si="21"/>
        <v>0</v>
      </c>
      <c r="Q75" s="358">
        <f t="shared" si="21"/>
        <v>0</v>
      </c>
      <c r="R75" s="358">
        <f t="shared" ca="1" si="21"/>
        <v>0</v>
      </c>
      <c r="S75" s="358">
        <f t="shared" si="21"/>
        <v>0</v>
      </c>
      <c r="T75" s="358">
        <f t="shared" ca="1" si="21"/>
        <v>0</v>
      </c>
      <c r="U75" s="358">
        <f t="shared" si="21"/>
        <v>0</v>
      </c>
      <c r="V75" s="358">
        <f t="shared" si="21"/>
        <v>0</v>
      </c>
      <c r="W75" s="358">
        <f t="shared" si="21"/>
        <v>0</v>
      </c>
      <c r="X75" s="358">
        <f t="shared" si="21"/>
        <v>0</v>
      </c>
      <c r="Y75" s="358">
        <f t="shared" si="21"/>
        <v>0</v>
      </c>
      <c r="Z75" s="358">
        <f t="shared" si="21"/>
        <v>0</v>
      </c>
      <c r="AA75" s="235">
        <f t="shared" ref="AA75" ca="1" si="22">+IF(AA63&gt;0,MAX(0,AA63-AA70+AA71),0)</f>
        <v>2575256</v>
      </c>
      <c r="AB75" s="287"/>
    </row>
    <row r="76" spans="1:29" s="103" customFormat="1" ht="15">
      <c r="A76" s="285"/>
      <c r="B76" s="286"/>
      <c r="C76" s="141"/>
      <c r="D76" s="289"/>
      <c r="E76" s="143"/>
      <c r="F76" s="291"/>
      <c r="G76" s="290"/>
      <c r="H76" s="290"/>
      <c r="I76" s="290"/>
      <c r="J76" s="290"/>
      <c r="K76" s="290"/>
      <c r="L76" s="290"/>
      <c r="M76" s="290"/>
      <c r="N76" s="290"/>
      <c r="O76" s="290"/>
      <c r="P76" s="290"/>
      <c r="Q76" s="290"/>
      <c r="R76" s="290"/>
      <c r="S76" s="290"/>
      <c r="T76" s="290"/>
      <c r="U76" s="290"/>
      <c r="V76" s="290"/>
      <c r="W76" s="290"/>
      <c r="X76" s="290"/>
      <c r="Y76" s="290"/>
      <c r="Z76" s="290"/>
      <c r="AA76" s="292"/>
      <c r="AB76" s="287"/>
    </row>
    <row r="77" spans="1:29" s="103" customFormat="1" ht="17.25">
      <c r="A77" s="285"/>
      <c r="B77" s="286"/>
      <c r="C77" s="142"/>
      <c r="D77" s="297" t="s">
        <v>356</v>
      </c>
      <c r="E77" s="143"/>
      <c r="F77" s="238"/>
      <c r="G77" s="142"/>
      <c r="H77" s="142"/>
      <c r="I77" s="142"/>
      <c r="J77" s="142"/>
      <c r="K77" s="142"/>
      <c r="L77" s="142"/>
      <c r="M77" s="142"/>
      <c r="N77" s="142"/>
      <c r="O77" s="142"/>
      <c r="P77" s="142"/>
      <c r="Q77" s="142"/>
      <c r="R77" s="142"/>
      <c r="S77" s="142"/>
      <c r="T77" s="142"/>
      <c r="U77" s="142"/>
      <c r="V77" s="142"/>
      <c r="W77" s="142"/>
      <c r="X77" s="142"/>
      <c r="Y77" s="142"/>
      <c r="Z77" s="142"/>
      <c r="AA77" s="237"/>
      <c r="AB77" s="287"/>
    </row>
    <row r="78" spans="1:29" s="103" customFormat="1" ht="15.4">
      <c r="A78" s="285"/>
      <c r="B78" s="286"/>
      <c r="C78" s="141"/>
      <c r="D78" s="289" t="s">
        <v>354</v>
      </c>
      <c r="E78" s="143"/>
      <c r="F78" s="130">
        <f ca="1">F55</f>
        <v>-1386300</v>
      </c>
      <c r="G78" s="104">
        <f t="shared" ref="G78:Z78" ca="1" si="23">+IF(H&lt;G$3,0,F81)</f>
        <v>-1386300</v>
      </c>
      <c r="H78" s="104">
        <f t="shared" ca="1" si="23"/>
        <v>-1386300</v>
      </c>
      <c r="I78" s="104">
        <f t="shared" ca="1" si="23"/>
        <v>-1386300</v>
      </c>
      <c r="J78" s="104">
        <f t="shared" ca="1" si="23"/>
        <v>-1386300</v>
      </c>
      <c r="K78" s="104">
        <f t="shared" ca="1" si="23"/>
        <v>-1386300</v>
      </c>
      <c r="L78" s="104">
        <f t="shared" ca="1" si="23"/>
        <v>-1386300</v>
      </c>
      <c r="M78" s="104">
        <f t="shared" ca="1" si="23"/>
        <v>-1386300</v>
      </c>
      <c r="N78" s="104">
        <f t="shared" ca="1" si="23"/>
        <v>-1386300</v>
      </c>
      <c r="O78" s="104">
        <f t="shared" ca="1" si="23"/>
        <v>-1386300</v>
      </c>
      <c r="P78" s="104">
        <f t="shared" ca="1" si="23"/>
        <v>-1386300</v>
      </c>
      <c r="Q78" s="104">
        <f t="shared" ca="1" si="23"/>
        <v>-1386300</v>
      </c>
      <c r="R78" s="104">
        <f t="shared" ca="1" si="23"/>
        <v>-1386300</v>
      </c>
      <c r="S78" s="104">
        <f t="shared" ca="1" si="23"/>
        <v>-1386300</v>
      </c>
      <c r="T78" s="104">
        <f t="shared" ca="1" si="23"/>
        <v>-1386300</v>
      </c>
      <c r="U78" s="104">
        <f t="shared" si="23"/>
        <v>0</v>
      </c>
      <c r="V78" s="104">
        <f t="shared" si="23"/>
        <v>0</v>
      </c>
      <c r="W78" s="104">
        <f t="shared" si="23"/>
        <v>0</v>
      </c>
      <c r="X78" s="104">
        <f t="shared" si="23"/>
        <v>0</v>
      </c>
      <c r="Y78" s="104">
        <f t="shared" si="23"/>
        <v>0</v>
      </c>
      <c r="Z78" s="104">
        <f t="shared" si="23"/>
        <v>0</v>
      </c>
      <c r="AA78" s="131">
        <f ca="1">+LOOKUP(H,$G$65:$Z$65,$G$81:$Z$81)</f>
        <v>-1384317</v>
      </c>
      <c r="AB78" s="287"/>
      <c r="AC78" s="288"/>
    </row>
    <row r="79" spans="1:29" s="103" customFormat="1" ht="15.4">
      <c r="A79" s="285"/>
      <c r="B79" s="286"/>
      <c r="C79" s="141"/>
      <c r="D79" s="289" t="s">
        <v>357</v>
      </c>
      <c r="E79" s="143"/>
      <c r="F79" s="132"/>
      <c r="G79" s="104">
        <f t="shared" ref="G79:I79" si="24">+IF(G75&gt;0,MIN(-G78,G75),0)</f>
        <v>0</v>
      </c>
      <c r="H79" s="104">
        <f ca="1">+IF(H75&gt;0,MIN(-H78,H75),0)</f>
        <v>0</v>
      </c>
      <c r="I79" s="104">
        <f t="shared" si="24"/>
        <v>0</v>
      </c>
      <c r="J79" s="104">
        <f ca="1">+IF(J75&gt;0,MIN(-J78,J75),0)</f>
        <v>0</v>
      </c>
      <c r="K79" s="104">
        <f t="shared" ref="K79:Z79" si="25">+IF(K75&gt;0,MIN(-K78,K75),0)</f>
        <v>0</v>
      </c>
      <c r="L79" s="104">
        <f t="shared" ca="1" si="25"/>
        <v>0</v>
      </c>
      <c r="M79" s="104">
        <f t="shared" si="25"/>
        <v>0</v>
      </c>
      <c r="N79" s="104">
        <f t="shared" ca="1" si="25"/>
        <v>0</v>
      </c>
      <c r="O79" s="104">
        <f t="shared" si="25"/>
        <v>0</v>
      </c>
      <c r="P79" s="104">
        <f t="shared" ca="1" si="25"/>
        <v>0</v>
      </c>
      <c r="Q79" s="104">
        <f t="shared" si="25"/>
        <v>0</v>
      </c>
      <c r="R79" s="104">
        <f t="shared" ca="1" si="25"/>
        <v>0</v>
      </c>
      <c r="S79" s="104">
        <f t="shared" si="25"/>
        <v>0</v>
      </c>
      <c r="T79" s="104">
        <f t="shared" ca="1" si="25"/>
        <v>0</v>
      </c>
      <c r="U79" s="104">
        <f t="shared" si="25"/>
        <v>0</v>
      </c>
      <c r="V79" s="104">
        <f t="shared" si="25"/>
        <v>0</v>
      </c>
      <c r="W79" s="104">
        <f t="shared" si="25"/>
        <v>0</v>
      </c>
      <c r="X79" s="104">
        <f t="shared" si="25"/>
        <v>0</v>
      </c>
      <c r="Y79" s="104">
        <f t="shared" si="25"/>
        <v>0</v>
      </c>
      <c r="Z79" s="104">
        <f t="shared" si="25"/>
        <v>0</v>
      </c>
      <c r="AA79" s="131">
        <f t="shared" ref="AA79" ca="1" si="26">+IF(AA75&gt;0,MIN(-AA78,AA75),0)+IF(AA62&lt;0,AA62,0)+IF(AA63&lt;0,AA63,0)</f>
        <v>1384317</v>
      </c>
      <c r="AB79" s="287"/>
      <c r="AC79" s="288"/>
    </row>
    <row r="80" spans="1:29" s="103" customFormat="1" ht="15.4">
      <c r="A80" s="285"/>
      <c r="B80" s="286"/>
      <c r="C80" s="141"/>
      <c r="D80" s="289" t="s">
        <v>416</v>
      </c>
      <c r="E80" s="143"/>
      <c r="F80" s="132"/>
      <c r="G80" s="104">
        <f t="shared" ref="G80" ca="1" si="27">+IF(SUM(G78:G79)&lt;0,MIN(-SUM(G78:G79),G87),0)</f>
        <v>0</v>
      </c>
      <c r="H80" s="104">
        <f t="shared" ref="H80" ca="1" si="28">+IF(H74&gt;0,MIN(-SUM(H78:H79),H74),0)</f>
        <v>0</v>
      </c>
      <c r="I80" s="104">
        <f t="shared" ref="I80" si="29">+IF(I74&gt;0,MIN(-SUM(I78:I79),I74),0)</f>
        <v>0</v>
      </c>
      <c r="J80" s="104">
        <f t="shared" ref="J80" ca="1" si="30">+IF(J74&gt;0,MIN(-SUM(J78:J79),J74),0)</f>
        <v>0</v>
      </c>
      <c r="K80" s="104">
        <f t="shared" ref="K80" si="31">+IF(K74&gt;0,MIN(-SUM(K78:K79),K74),0)</f>
        <v>0</v>
      </c>
      <c r="L80" s="104">
        <f t="shared" ref="L80" ca="1" si="32">+IF(L74&gt;0,MIN(-SUM(L78:L79),L74),0)</f>
        <v>0</v>
      </c>
      <c r="M80" s="104">
        <f t="shared" ref="M80" si="33">+IF(M74&gt;0,MIN(-SUM(M78:M79),M74),0)</f>
        <v>0</v>
      </c>
      <c r="N80" s="104">
        <f t="shared" ref="N80" ca="1" si="34">+IF(N74&gt;0,MIN(-SUM(N78:N79),N74),0)</f>
        <v>0</v>
      </c>
      <c r="O80" s="104">
        <f t="shared" ref="O80" si="35">+IF(O74&gt;0,MIN(-SUM(O78:O79),O74),0)</f>
        <v>0</v>
      </c>
      <c r="P80" s="104">
        <f t="shared" ref="P80" ca="1" si="36">+IF(P74&gt;0,MIN(-SUM(P78:P79),P74),0)</f>
        <v>0</v>
      </c>
      <c r="Q80" s="104">
        <f t="shared" ref="Q80" si="37">+IF(Q74&gt;0,MIN(-SUM(Q78:Q79),Q74),0)</f>
        <v>0</v>
      </c>
      <c r="R80" s="104">
        <f t="shared" ref="R80" ca="1" si="38">+IF(R74&gt;0,MIN(-SUM(R78:R79),R74),0)</f>
        <v>0</v>
      </c>
      <c r="S80" s="104">
        <f t="shared" ref="S80" si="39">+IF(S74&gt;0,MIN(-SUM(S78:S79),S74),0)</f>
        <v>0</v>
      </c>
      <c r="T80" s="104">
        <f t="shared" ref="T80" ca="1" si="40">+IF(T74&gt;0,MIN(-SUM(T78:T79),T74),0)</f>
        <v>1983</v>
      </c>
      <c r="U80" s="104">
        <f t="shared" ref="U80" si="41">+IF(U74&gt;0,MIN(-SUM(U78:U79),U74),0)</f>
        <v>0</v>
      </c>
      <c r="V80" s="104">
        <f t="shared" ref="V80" si="42">+IF(V74&gt;0,MIN(-SUM(V78:V79),V74),0)</f>
        <v>0</v>
      </c>
      <c r="W80" s="104">
        <f t="shared" ref="W80" si="43">+IF(W74&gt;0,MIN(-SUM(W78:W79),W74),0)</f>
        <v>0</v>
      </c>
      <c r="X80" s="104">
        <f t="shared" ref="X80" si="44">+IF(X74&gt;0,MIN(-SUM(X78:X79),X74),0)</f>
        <v>0</v>
      </c>
      <c r="Y80" s="104">
        <f t="shared" ref="Y80" si="45">+IF(Y74&gt;0,MIN(-SUM(Y78:Y79),Y74),0)</f>
        <v>0</v>
      </c>
      <c r="Z80" s="104">
        <f t="shared" ref="Z80" si="46">+IF(Z74&gt;0,MIN(-SUM(Z78:Z79),Z74),0)</f>
        <v>0</v>
      </c>
      <c r="AA80" s="131"/>
      <c r="AB80" s="287"/>
      <c r="AC80" s="288"/>
    </row>
    <row r="81" spans="1:30" s="103" customFormat="1" ht="15.4" thickBot="1">
      <c r="A81" s="285"/>
      <c r="B81" s="286"/>
      <c r="C81" s="142"/>
      <c r="D81" s="289" t="s">
        <v>358</v>
      </c>
      <c r="E81" s="143"/>
      <c r="F81" s="294">
        <f ca="1">+SUM(F78:F79)</f>
        <v>-1386300</v>
      </c>
      <c r="G81" s="295">
        <f t="shared" ref="G81:I81" ca="1" si="47">+SUM(G78:G80)</f>
        <v>-1386300</v>
      </c>
      <c r="H81" s="295">
        <f t="shared" ca="1" si="47"/>
        <v>-1386300</v>
      </c>
      <c r="I81" s="295">
        <f t="shared" ca="1" si="47"/>
        <v>-1386300</v>
      </c>
      <c r="J81" s="295">
        <f ca="1">+SUM(J78:J80)</f>
        <v>-1386300</v>
      </c>
      <c r="K81" s="295">
        <f t="shared" ref="K81:Z81" ca="1" si="48">+SUM(K78:K80)</f>
        <v>-1386300</v>
      </c>
      <c r="L81" s="295">
        <f t="shared" ca="1" si="48"/>
        <v>-1386300</v>
      </c>
      <c r="M81" s="295">
        <f t="shared" ca="1" si="48"/>
        <v>-1386300</v>
      </c>
      <c r="N81" s="295">
        <f t="shared" ca="1" si="48"/>
        <v>-1386300</v>
      </c>
      <c r="O81" s="295">
        <f t="shared" ca="1" si="48"/>
        <v>-1386300</v>
      </c>
      <c r="P81" s="295">
        <f t="shared" ca="1" si="48"/>
        <v>-1386300</v>
      </c>
      <c r="Q81" s="295">
        <f t="shared" ca="1" si="48"/>
        <v>-1386300</v>
      </c>
      <c r="R81" s="295">
        <f t="shared" ca="1" si="48"/>
        <v>-1386300</v>
      </c>
      <c r="S81" s="295">
        <f t="shared" ca="1" si="48"/>
        <v>-1386300</v>
      </c>
      <c r="T81" s="295">
        <f t="shared" ca="1" si="48"/>
        <v>-1384317</v>
      </c>
      <c r="U81" s="295">
        <f t="shared" si="48"/>
        <v>0</v>
      </c>
      <c r="V81" s="295">
        <f t="shared" si="48"/>
        <v>0</v>
      </c>
      <c r="W81" s="295">
        <f t="shared" si="48"/>
        <v>0</v>
      </c>
      <c r="X81" s="295">
        <f t="shared" si="48"/>
        <v>0</v>
      </c>
      <c r="Y81" s="295">
        <f t="shared" si="48"/>
        <v>0</v>
      </c>
      <c r="Z81" s="295">
        <f t="shared" si="48"/>
        <v>0</v>
      </c>
      <c r="AA81" s="305">
        <f t="shared" ref="AA81" ca="1" si="49">+SUM(AA78:AA79)</f>
        <v>0</v>
      </c>
      <c r="AB81" s="287"/>
    </row>
    <row r="82" spans="1:30" s="103" customFormat="1" ht="15.4" thickBot="1">
      <c r="A82" s="285"/>
      <c r="B82" s="286"/>
      <c r="C82" s="142"/>
      <c r="D82" s="289"/>
      <c r="E82" s="143"/>
      <c r="F82" s="130"/>
      <c r="G82" s="104"/>
      <c r="H82" s="104"/>
      <c r="I82" s="104"/>
      <c r="J82" s="104"/>
      <c r="K82" s="104"/>
      <c r="L82" s="104"/>
      <c r="M82" s="104"/>
      <c r="N82" s="104"/>
      <c r="O82" s="104"/>
      <c r="P82" s="104"/>
      <c r="Q82" s="104"/>
      <c r="R82" s="104"/>
      <c r="S82" s="104"/>
      <c r="T82" s="104"/>
      <c r="U82" s="104"/>
      <c r="V82" s="104"/>
      <c r="W82" s="104"/>
      <c r="X82" s="104"/>
      <c r="Y82" s="104"/>
      <c r="Z82" s="104"/>
      <c r="AA82" s="131"/>
      <c r="AB82" s="287"/>
    </row>
    <row r="83" spans="1:30" s="103" customFormat="1" ht="17.25">
      <c r="A83" s="285"/>
      <c r="B83" s="286"/>
      <c r="C83" s="144"/>
      <c r="D83" s="297" t="s">
        <v>366</v>
      </c>
      <c r="E83" s="143"/>
      <c r="F83" s="362">
        <f ca="1">+IF(F74&gt;0,MAX(0,F74-F80),0)</f>
        <v>0</v>
      </c>
      <c r="G83" s="363">
        <f t="shared" ref="G83:AA83" si="50">+IF(G74&gt;0,MAX(0,G74-G80),0)</f>
        <v>0</v>
      </c>
      <c r="H83" s="363">
        <f t="shared" ca="1" si="50"/>
        <v>0</v>
      </c>
      <c r="I83" s="363">
        <f t="shared" si="50"/>
        <v>0</v>
      </c>
      <c r="J83" s="363">
        <f t="shared" ca="1" si="50"/>
        <v>0</v>
      </c>
      <c r="K83" s="363">
        <f t="shared" si="50"/>
        <v>0</v>
      </c>
      <c r="L83" s="363">
        <f t="shared" ca="1" si="50"/>
        <v>0</v>
      </c>
      <c r="M83" s="363">
        <f t="shared" si="50"/>
        <v>0</v>
      </c>
      <c r="N83" s="363">
        <f t="shared" ca="1" si="50"/>
        <v>0</v>
      </c>
      <c r="O83" s="363">
        <f t="shared" si="50"/>
        <v>0</v>
      </c>
      <c r="P83" s="363">
        <f t="shared" ca="1" si="50"/>
        <v>0</v>
      </c>
      <c r="Q83" s="363">
        <f t="shared" si="50"/>
        <v>0</v>
      </c>
      <c r="R83" s="363">
        <f t="shared" ca="1" si="50"/>
        <v>0</v>
      </c>
      <c r="S83" s="363">
        <f t="shared" si="50"/>
        <v>0</v>
      </c>
      <c r="T83" s="363">
        <f t="shared" ca="1" si="50"/>
        <v>0</v>
      </c>
      <c r="U83" s="363">
        <f t="shared" si="50"/>
        <v>0</v>
      </c>
      <c r="V83" s="363">
        <f t="shared" si="50"/>
        <v>0</v>
      </c>
      <c r="W83" s="363">
        <f t="shared" si="50"/>
        <v>0</v>
      </c>
      <c r="X83" s="363">
        <f t="shared" si="50"/>
        <v>0</v>
      </c>
      <c r="Y83" s="363">
        <f t="shared" si="50"/>
        <v>0</v>
      </c>
      <c r="Z83" s="363">
        <f t="shared" si="50"/>
        <v>0</v>
      </c>
      <c r="AA83" s="364">
        <f t="shared" ca="1" si="50"/>
        <v>0</v>
      </c>
      <c r="AB83" s="287"/>
    </row>
    <row r="84" spans="1:30" s="103" customFormat="1" ht="17.649999999999999" thickBot="1">
      <c r="A84" s="285"/>
      <c r="B84" s="286"/>
      <c r="C84" s="144"/>
      <c r="D84" s="297" t="s">
        <v>367</v>
      </c>
      <c r="E84" s="143"/>
      <c r="F84" s="357">
        <f>+IF(F75&gt;0,MAX(0,F75-F79),0)</f>
        <v>0</v>
      </c>
      <c r="G84" s="358">
        <f t="shared" ref="G84:AA84" si="51">+IF(G75&gt;0,MAX(0,G75-G79),0)</f>
        <v>0</v>
      </c>
      <c r="H84" s="358">
        <f t="shared" ca="1" si="51"/>
        <v>0</v>
      </c>
      <c r="I84" s="358">
        <f t="shared" si="51"/>
        <v>0</v>
      </c>
      <c r="J84" s="358">
        <f t="shared" ca="1" si="51"/>
        <v>0</v>
      </c>
      <c r="K84" s="358">
        <f t="shared" si="51"/>
        <v>0</v>
      </c>
      <c r="L84" s="358">
        <f t="shared" ca="1" si="51"/>
        <v>0</v>
      </c>
      <c r="M84" s="358">
        <f t="shared" si="51"/>
        <v>0</v>
      </c>
      <c r="N84" s="358">
        <f t="shared" ca="1" si="51"/>
        <v>0</v>
      </c>
      <c r="O84" s="358">
        <f t="shared" si="51"/>
        <v>0</v>
      </c>
      <c r="P84" s="358">
        <f t="shared" ca="1" si="51"/>
        <v>0</v>
      </c>
      <c r="Q84" s="358">
        <f t="shared" si="51"/>
        <v>0</v>
      </c>
      <c r="R84" s="358">
        <f t="shared" ca="1" si="51"/>
        <v>0</v>
      </c>
      <c r="S84" s="358">
        <f t="shared" si="51"/>
        <v>0</v>
      </c>
      <c r="T84" s="358">
        <f t="shared" ca="1" si="51"/>
        <v>0</v>
      </c>
      <c r="U84" s="358">
        <f t="shared" si="51"/>
        <v>0</v>
      </c>
      <c r="V84" s="358">
        <f t="shared" si="51"/>
        <v>0</v>
      </c>
      <c r="W84" s="358">
        <f t="shared" si="51"/>
        <v>0</v>
      </c>
      <c r="X84" s="358">
        <f t="shared" si="51"/>
        <v>0</v>
      </c>
      <c r="Y84" s="358">
        <f t="shared" si="51"/>
        <v>0</v>
      </c>
      <c r="Z84" s="358">
        <f t="shared" si="51"/>
        <v>0</v>
      </c>
      <c r="AA84" s="235">
        <f t="shared" ca="1" si="51"/>
        <v>1190939</v>
      </c>
      <c r="AB84" s="287"/>
    </row>
    <row r="85" spans="1:30" s="103" customFormat="1" ht="15">
      <c r="A85" s="285"/>
      <c r="B85" s="286"/>
      <c r="C85" s="144"/>
      <c r="D85" s="293"/>
      <c r="E85" s="143"/>
      <c r="F85" s="359"/>
      <c r="G85" s="360"/>
      <c r="H85" s="360"/>
      <c r="I85" s="360"/>
      <c r="J85" s="360"/>
      <c r="K85" s="360"/>
      <c r="L85" s="360"/>
      <c r="M85" s="360"/>
      <c r="N85" s="360"/>
      <c r="O85" s="360"/>
      <c r="P85" s="360"/>
      <c r="Q85" s="360"/>
      <c r="R85" s="360"/>
      <c r="S85" s="360"/>
      <c r="T85" s="360"/>
      <c r="U85" s="360"/>
      <c r="V85" s="360"/>
      <c r="W85" s="360"/>
      <c r="X85" s="360"/>
      <c r="Y85" s="360"/>
      <c r="Z85" s="360"/>
      <c r="AA85" s="361"/>
      <c r="AB85" s="287"/>
    </row>
    <row r="86" spans="1:30" s="103" customFormat="1" ht="17.649999999999999" thickBot="1">
      <c r="A86" s="285"/>
      <c r="B86" s="286"/>
      <c r="C86" s="142"/>
      <c r="D86" s="297" t="s">
        <v>359</v>
      </c>
      <c r="E86" s="143"/>
      <c r="F86" s="357"/>
      <c r="G86" s="358"/>
      <c r="H86" s="358"/>
      <c r="I86" s="358"/>
      <c r="J86" s="358"/>
      <c r="K86" s="358"/>
      <c r="L86" s="358"/>
      <c r="M86" s="358"/>
      <c r="N86" s="358"/>
      <c r="O86" s="358"/>
      <c r="P86" s="358"/>
      <c r="Q86" s="358"/>
      <c r="R86" s="358"/>
      <c r="S86" s="358"/>
      <c r="T86" s="358"/>
      <c r="U86" s="358"/>
      <c r="V86" s="358"/>
      <c r="W86" s="358"/>
      <c r="X86" s="358"/>
      <c r="Y86" s="358"/>
      <c r="Z86" s="358"/>
      <c r="AA86" s="235"/>
      <c r="AB86" s="287"/>
    </row>
    <row r="87" spans="1:30" s="103" customFormat="1" ht="15">
      <c r="A87" s="285"/>
      <c r="B87" s="286"/>
      <c r="C87" s="296">
        <f>+Dashboard!H15</f>
        <v>0.8</v>
      </c>
      <c r="D87" s="289" t="s">
        <v>361</v>
      </c>
      <c r="E87" s="143"/>
      <c r="F87" s="359">
        <f t="shared" ref="F87:AA88" ca="1" si="52">+F$83*$C87</f>
        <v>0</v>
      </c>
      <c r="G87" s="360">
        <f t="shared" si="52"/>
        <v>0</v>
      </c>
      <c r="H87" s="360">
        <f t="shared" ca="1" si="52"/>
        <v>0</v>
      </c>
      <c r="I87" s="360">
        <f t="shared" si="52"/>
        <v>0</v>
      </c>
      <c r="J87" s="360">
        <f t="shared" ca="1" si="52"/>
        <v>0</v>
      </c>
      <c r="K87" s="360">
        <f t="shared" si="52"/>
        <v>0</v>
      </c>
      <c r="L87" s="360">
        <f t="shared" ca="1" si="52"/>
        <v>0</v>
      </c>
      <c r="M87" s="360">
        <f t="shared" si="52"/>
        <v>0</v>
      </c>
      <c r="N87" s="360">
        <f t="shared" ca="1" si="52"/>
        <v>0</v>
      </c>
      <c r="O87" s="360">
        <f t="shared" si="52"/>
        <v>0</v>
      </c>
      <c r="P87" s="360">
        <f t="shared" ca="1" si="52"/>
        <v>0</v>
      </c>
      <c r="Q87" s="360">
        <f t="shared" si="52"/>
        <v>0</v>
      </c>
      <c r="R87" s="360">
        <f t="shared" ca="1" si="52"/>
        <v>0</v>
      </c>
      <c r="S87" s="360">
        <f t="shared" si="52"/>
        <v>0</v>
      </c>
      <c r="T87" s="360">
        <f t="shared" ca="1" si="52"/>
        <v>0</v>
      </c>
      <c r="U87" s="360">
        <f t="shared" si="52"/>
        <v>0</v>
      </c>
      <c r="V87" s="360">
        <f t="shared" si="52"/>
        <v>0</v>
      </c>
      <c r="W87" s="360">
        <f t="shared" si="52"/>
        <v>0</v>
      </c>
      <c r="X87" s="360">
        <f t="shared" si="52"/>
        <v>0</v>
      </c>
      <c r="Y87" s="360">
        <f t="shared" si="52"/>
        <v>0</v>
      </c>
      <c r="Z87" s="360">
        <f t="shared" si="52"/>
        <v>0</v>
      </c>
      <c r="AA87" s="361">
        <f t="shared" ca="1" si="52"/>
        <v>0</v>
      </c>
      <c r="AB87" s="287"/>
    </row>
    <row r="88" spans="1:30" s="103" customFormat="1" ht="15.4" thickBot="1">
      <c r="A88" s="285"/>
      <c r="B88" s="286"/>
      <c r="C88" s="296">
        <f>1-C87</f>
        <v>0.19999999999999996</v>
      </c>
      <c r="D88" s="289" t="s">
        <v>323</v>
      </c>
      <c r="E88" s="143"/>
      <c r="F88" s="357">
        <f t="shared" ca="1" si="52"/>
        <v>0</v>
      </c>
      <c r="G88" s="358">
        <f t="shared" si="52"/>
        <v>0</v>
      </c>
      <c r="H88" s="358">
        <f t="shared" ca="1" si="52"/>
        <v>0</v>
      </c>
      <c r="I88" s="358">
        <f t="shared" si="52"/>
        <v>0</v>
      </c>
      <c r="J88" s="358">
        <f t="shared" ca="1" si="52"/>
        <v>0</v>
      </c>
      <c r="K88" s="358">
        <f t="shared" si="52"/>
        <v>0</v>
      </c>
      <c r="L88" s="358">
        <f t="shared" ca="1" si="52"/>
        <v>0</v>
      </c>
      <c r="M88" s="358">
        <f t="shared" si="52"/>
        <v>0</v>
      </c>
      <c r="N88" s="358">
        <f t="shared" ca="1" si="52"/>
        <v>0</v>
      </c>
      <c r="O88" s="358">
        <f t="shared" si="52"/>
        <v>0</v>
      </c>
      <c r="P88" s="358">
        <f t="shared" ca="1" si="52"/>
        <v>0</v>
      </c>
      <c r="Q88" s="358">
        <f t="shared" si="52"/>
        <v>0</v>
      </c>
      <c r="R88" s="358">
        <f t="shared" ca="1" si="52"/>
        <v>0</v>
      </c>
      <c r="S88" s="358">
        <f t="shared" si="52"/>
        <v>0</v>
      </c>
      <c r="T88" s="358">
        <f t="shared" ca="1" si="52"/>
        <v>0</v>
      </c>
      <c r="U88" s="358">
        <f t="shared" si="52"/>
        <v>0</v>
      </c>
      <c r="V88" s="358">
        <f t="shared" si="52"/>
        <v>0</v>
      </c>
      <c r="W88" s="358">
        <f t="shared" si="52"/>
        <v>0</v>
      </c>
      <c r="X88" s="358">
        <f t="shared" si="52"/>
        <v>0</v>
      </c>
      <c r="Y88" s="358">
        <f t="shared" si="52"/>
        <v>0</v>
      </c>
      <c r="Z88" s="358">
        <f t="shared" si="52"/>
        <v>0</v>
      </c>
      <c r="AA88" s="235">
        <f t="shared" ca="1" si="52"/>
        <v>0</v>
      </c>
      <c r="AB88" s="287"/>
    </row>
    <row r="89" spans="1:30" s="103" customFormat="1" ht="15">
      <c r="A89" s="285"/>
      <c r="B89" s="286"/>
      <c r="C89" s="142"/>
      <c r="D89" s="289"/>
      <c r="E89" s="143"/>
      <c r="F89" s="359"/>
      <c r="G89" s="360"/>
      <c r="H89" s="360"/>
      <c r="I89" s="360"/>
      <c r="J89" s="360"/>
      <c r="K89" s="360"/>
      <c r="L89" s="360"/>
      <c r="M89" s="360"/>
      <c r="N89" s="360"/>
      <c r="O89" s="360"/>
      <c r="P89" s="360"/>
      <c r="Q89" s="360"/>
      <c r="R89" s="360"/>
      <c r="S89" s="360"/>
      <c r="T89" s="360"/>
      <c r="U89" s="360"/>
      <c r="V89" s="360"/>
      <c r="W89" s="360"/>
      <c r="X89" s="360"/>
      <c r="Y89" s="360"/>
      <c r="Z89" s="360"/>
      <c r="AA89" s="361"/>
      <c r="AB89" s="287"/>
    </row>
    <row r="90" spans="1:30" s="103" customFormat="1" ht="15">
      <c r="A90" s="285"/>
      <c r="B90" s="286"/>
      <c r="C90" s="142"/>
      <c r="D90" s="289"/>
      <c r="E90" s="143"/>
      <c r="F90" s="130"/>
      <c r="G90" s="104"/>
      <c r="H90" s="104"/>
      <c r="I90" s="104"/>
      <c r="J90" s="104"/>
      <c r="K90" s="104"/>
      <c r="L90" s="104"/>
      <c r="M90" s="104"/>
      <c r="N90" s="104"/>
      <c r="O90" s="104"/>
      <c r="P90" s="104"/>
      <c r="Q90" s="104"/>
      <c r="R90" s="104"/>
      <c r="S90" s="104"/>
      <c r="T90" s="104"/>
      <c r="U90" s="104"/>
      <c r="V90" s="104"/>
      <c r="W90" s="104"/>
      <c r="X90" s="104"/>
      <c r="Y90" s="104"/>
      <c r="Z90" s="104"/>
      <c r="AA90" s="131"/>
      <c r="AB90" s="287"/>
    </row>
    <row r="91" spans="1:30" s="103" customFormat="1" ht="17.649999999999999" thickBot="1">
      <c r="A91" s="285"/>
      <c r="B91" s="286"/>
      <c r="C91" s="142"/>
      <c r="D91" s="297" t="s">
        <v>362</v>
      </c>
      <c r="E91" s="143"/>
      <c r="F91" s="130"/>
      <c r="G91" s="104"/>
      <c r="H91" s="104"/>
      <c r="I91" s="104"/>
      <c r="J91" s="104"/>
      <c r="K91" s="104"/>
      <c r="L91" s="104"/>
      <c r="M91" s="104"/>
      <c r="N91" s="104"/>
      <c r="O91" s="104"/>
      <c r="P91" s="104"/>
      <c r="Q91" s="104"/>
      <c r="R91" s="104"/>
      <c r="S91" s="104"/>
      <c r="T91" s="104"/>
      <c r="U91" s="104"/>
      <c r="V91" s="104"/>
      <c r="W91" s="104"/>
      <c r="X91" s="104"/>
      <c r="Y91" s="104"/>
      <c r="Z91" s="104"/>
      <c r="AA91" s="131"/>
      <c r="AB91" s="287"/>
    </row>
    <row r="92" spans="1:30" s="103" customFormat="1" ht="15">
      <c r="A92" s="285"/>
      <c r="B92" s="286"/>
      <c r="C92" s="296">
        <f>+Dashboard!H16</f>
        <v>0.5</v>
      </c>
      <c r="D92" s="289" t="s">
        <v>361</v>
      </c>
      <c r="E92" s="143"/>
      <c r="F92" s="359">
        <f>+F$84*$C92</f>
        <v>0</v>
      </c>
      <c r="G92" s="360">
        <f t="shared" ref="G92:AA93" si="53">+G$84*$C92</f>
        <v>0</v>
      </c>
      <c r="H92" s="360">
        <f t="shared" ca="1" si="53"/>
        <v>0</v>
      </c>
      <c r="I92" s="360">
        <f t="shared" si="53"/>
        <v>0</v>
      </c>
      <c r="J92" s="360">
        <f t="shared" ca="1" si="53"/>
        <v>0</v>
      </c>
      <c r="K92" s="360">
        <f t="shared" si="53"/>
        <v>0</v>
      </c>
      <c r="L92" s="360">
        <f t="shared" ca="1" si="53"/>
        <v>0</v>
      </c>
      <c r="M92" s="360">
        <f t="shared" si="53"/>
        <v>0</v>
      </c>
      <c r="N92" s="360">
        <f t="shared" ca="1" si="53"/>
        <v>0</v>
      </c>
      <c r="O92" s="360">
        <f t="shared" si="53"/>
        <v>0</v>
      </c>
      <c r="P92" s="360">
        <f t="shared" ca="1" si="53"/>
        <v>0</v>
      </c>
      <c r="Q92" s="360">
        <f t="shared" si="53"/>
        <v>0</v>
      </c>
      <c r="R92" s="360">
        <f t="shared" ca="1" si="53"/>
        <v>0</v>
      </c>
      <c r="S92" s="360">
        <f t="shared" si="53"/>
        <v>0</v>
      </c>
      <c r="T92" s="360">
        <f t="shared" ca="1" si="53"/>
        <v>0</v>
      </c>
      <c r="U92" s="360">
        <f t="shared" si="53"/>
        <v>0</v>
      </c>
      <c r="V92" s="360">
        <f t="shared" si="53"/>
        <v>0</v>
      </c>
      <c r="W92" s="360">
        <f t="shared" si="53"/>
        <v>0</v>
      </c>
      <c r="X92" s="360">
        <f t="shared" si="53"/>
        <v>0</v>
      </c>
      <c r="Y92" s="360">
        <f t="shared" si="53"/>
        <v>0</v>
      </c>
      <c r="Z92" s="360">
        <f t="shared" si="53"/>
        <v>0</v>
      </c>
      <c r="AA92" s="361">
        <f t="shared" ca="1" si="53"/>
        <v>595469.5</v>
      </c>
      <c r="AB92" s="287"/>
    </row>
    <row r="93" spans="1:30" s="103" customFormat="1" ht="15.4" thickBot="1">
      <c r="A93" s="285"/>
      <c r="B93" s="286"/>
      <c r="C93" s="296">
        <f>1-C92</f>
        <v>0.5</v>
      </c>
      <c r="D93" s="289" t="s">
        <v>323</v>
      </c>
      <c r="E93" s="143"/>
      <c r="F93" s="130">
        <f>+F$84*$C93</f>
        <v>0</v>
      </c>
      <c r="G93" s="104">
        <f t="shared" si="53"/>
        <v>0</v>
      </c>
      <c r="H93" s="104">
        <f t="shared" ca="1" si="53"/>
        <v>0</v>
      </c>
      <c r="I93" s="104">
        <f t="shared" si="53"/>
        <v>0</v>
      </c>
      <c r="J93" s="104">
        <f t="shared" ca="1" si="53"/>
        <v>0</v>
      </c>
      <c r="K93" s="104">
        <f t="shared" si="53"/>
        <v>0</v>
      </c>
      <c r="L93" s="104">
        <f t="shared" ca="1" si="53"/>
        <v>0</v>
      </c>
      <c r="M93" s="104">
        <f t="shared" si="53"/>
        <v>0</v>
      </c>
      <c r="N93" s="104">
        <f t="shared" ca="1" si="53"/>
        <v>0</v>
      </c>
      <c r="O93" s="104">
        <f t="shared" si="53"/>
        <v>0</v>
      </c>
      <c r="P93" s="104">
        <f t="shared" ca="1" si="53"/>
        <v>0</v>
      </c>
      <c r="Q93" s="104">
        <f t="shared" si="53"/>
        <v>0</v>
      </c>
      <c r="R93" s="104">
        <f t="shared" ca="1" si="53"/>
        <v>0</v>
      </c>
      <c r="S93" s="104">
        <f t="shared" si="53"/>
        <v>0</v>
      </c>
      <c r="T93" s="104">
        <f t="shared" ca="1" si="53"/>
        <v>0</v>
      </c>
      <c r="U93" s="104">
        <f t="shared" si="53"/>
        <v>0</v>
      </c>
      <c r="V93" s="104">
        <f t="shared" si="53"/>
        <v>0</v>
      </c>
      <c r="W93" s="104">
        <f t="shared" si="53"/>
        <v>0</v>
      </c>
      <c r="X93" s="104">
        <f t="shared" si="53"/>
        <v>0</v>
      </c>
      <c r="Y93" s="104">
        <f t="shared" si="53"/>
        <v>0</v>
      </c>
      <c r="Z93" s="104">
        <f t="shared" si="53"/>
        <v>0</v>
      </c>
      <c r="AA93" s="131">
        <f t="shared" ca="1" si="53"/>
        <v>595469.5</v>
      </c>
      <c r="AB93" s="287"/>
    </row>
    <row r="94" spans="1:30" s="103" customFormat="1" ht="15">
      <c r="A94" s="285"/>
      <c r="B94" s="286"/>
      <c r="C94" s="142"/>
      <c r="D94" s="289"/>
      <c r="E94" s="143"/>
      <c r="F94" s="359"/>
      <c r="G94" s="360"/>
      <c r="H94" s="360"/>
      <c r="I94" s="360"/>
      <c r="J94" s="360"/>
      <c r="K94" s="360"/>
      <c r="L94" s="360"/>
      <c r="M94" s="360"/>
      <c r="N94" s="360"/>
      <c r="O94" s="360"/>
      <c r="P94" s="360"/>
      <c r="Q94" s="360"/>
      <c r="R94" s="360"/>
      <c r="S94" s="360"/>
      <c r="T94" s="360"/>
      <c r="U94" s="360"/>
      <c r="V94" s="360"/>
      <c r="W94" s="360"/>
      <c r="X94" s="360"/>
      <c r="Y94" s="360"/>
      <c r="Z94" s="360"/>
      <c r="AA94" s="361"/>
      <c r="AB94" s="287"/>
    </row>
    <row r="95" spans="1:30" s="103" customFormat="1" ht="17.649999999999999" thickBot="1">
      <c r="A95" s="285"/>
      <c r="B95" s="286"/>
      <c r="C95" s="142"/>
      <c r="D95" s="297" t="s">
        <v>363</v>
      </c>
      <c r="E95" s="143"/>
      <c r="F95" s="130"/>
      <c r="G95" s="104"/>
      <c r="H95" s="104"/>
      <c r="I95" s="104"/>
      <c r="J95" s="104"/>
      <c r="K95" s="104"/>
      <c r="L95" s="104"/>
      <c r="M95" s="104"/>
      <c r="N95" s="104"/>
      <c r="O95" s="104"/>
      <c r="P95" s="104"/>
      <c r="Q95" s="104"/>
      <c r="R95" s="104"/>
      <c r="S95" s="104"/>
      <c r="T95" s="104"/>
      <c r="U95" s="104"/>
      <c r="V95" s="104"/>
      <c r="W95" s="104"/>
      <c r="X95" s="104"/>
      <c r="Y95" s="104"/>
      <c r="Z95" s="104"/>
      <c r="AA95" s="131"/>
      <c r="AB95" s="287"/>
    </row>
    <row r="96" spans="1:30" s="103" customFormat="1" ht="15.4">
      <c r="A96" s="285"/>
      <c r="B96" s="286"/>
      <c r="C96" s="369">
        <f ca="1">+XIRR($F$96:$AA$96,$F$4:$AA$4)</f>
        <v>0.10617019534111025</v>
      </c>
      <c r="D96" s="289" t="s">
        <v>361</v>
      </c>
      <c r="E96" s="143"/>
      <c r="F96" s="359">
        <f ca="1">+F78</f>
        <v>-1386300</v>
      </c>
      <c r="G96" s="360">
        <f>+G70+G79+G87+G92</f>
        <v>0</v>
      </c>
      <c r="H96" s="360">
        <f ca="1">+H70+H79+H80+H87+H92</f>
        <v>36650</v>
      </c>
      <c r="I96" s="360">
        <f t="shared" ref="I96:Z96" si="54">+I70+I79+I80+I87+I92</f>
        <v>0</v>
      </c>
      <c r="J96" s="360">
        <f t="shared" ca="1" si="54"/>
        <v>68047</v>
      </c>
      <c r="K96" s="360">
        <f t="shared" si="54"/>
        <v>0</v>
      </c>
      <c r="L96" s="360">
        <f t="shared" ca="1" si="54"/>
        <v>87229</v>
      </c>
      <c r="M96" s="360">
        <f t="shared" si="54"/>
        <v>0</v>
      </c>
      <c r="N96" s="360">
        <f t="shared" ca="1" si="54"/>
        <v>93462</v>
      </c>
      <c r="O96" s="360">
        <f t="shared" si="54"/>
        <v>0</v>
      </c>
      <c r="P96" s="360">
        <f t="shared" ca="1" si="54"/>
        <v>99814</v>
      </c>
      <c r="Q96" s="360">
        <f t="shared" si="54"/>
        <v>0</v>
      </c>
      <c r="R96" s="360">
        <f t="shared" ca="1" si="54"/>
        <v>106289</v>
      </c>
      <c r="S96" s="360">
        <f t="shared" si="54"/>
        <v>0</v>
      </c>
      <c r="T96" s="360">
        <f t="shared" ca="1" si="54"/>
        <v>112887</v>
      </c>
      <c r="U96" s="360">
        <f t="shared" si="54"/>
        <v>0</v>
      </c>
      <c r="V96" s="360">
        <f t="shared" si="54"/>
        <v>0</v>
      </c>
      <c r="W96" s="360">
        <f t="shared" si="54"/>
        <v>0</v>
      </c>
      <c r="X96" s="360">
        <f t="shared" si="54"/>
        <v>0</v>
      </c>
      <c r="Y96" s="360">
        <f t="shared" si="54"/>
        <v>0</v>
      </c>
      <c r="Z96" s="360">
        <f t="shared" si="54"/>
        <v>0</v>
      </c>
      <c r="AA96" s="361">
        <f ca="1">+AA70+AA79+AA87+AA92+AA81</f>
        <v>1979786.5</v>
      </c>
      <c r="AB96" s="287"/>
      <c r="AC96" s="368">
        <f ca="1">+SUM(F96:AA96)</f>
        <v>1197864.5</v>
      </c>
      <c r="AD96" s="428">
        <f ca="1">+AC96/SUM($AC$96:$AC$97)</f>
        <v>0.66795393384612123</v>
      </c>
    </row>
    <row r="97" spans="1:30" s="103" customFormat="1" ht="15.75" thickBot="1">
      <c r="A97" s="285"/>
      <c r="B97" s="286"/>
      <c r="C97" s="301"/>
      <c r="D97" s="289" t="s">
        <v>323</v>
      </c>
      <c r="E97" s="143"/>
      <c r="F97" s="357">
        <v>0</v>
      </c>
      <c r="G97" s="358">
        <f>+G88+G93</f>
        <v>0</v>
      </c>
      <c r="H97" s="358">
        <f ca="1">+H88+H93</f>
        <v>0</v>
      </c>
      <c r="I97" s="358">
        <f>+I88+I93</f>
        <v>0</v>
      </c>
      <c r="J97" s="358">
        <f ca="1">+J88+J93</f>
        <v>0</v>
      </c>
      <c r="K97" s="358">
        <f>+K88+K93</f>
        <v>0</v>
      </c>
      <c r="L97" s="358">
        <f t="shared" ref="L97:Z97" ca="1" si="55">+L88+L93</f>
        <v>0</v>
      </c>
      <c r="M97" s="358">
        <f t="shared" si="55"/>
        <v>0</v>
      </c>
      <c r="N97" s="358">
        <f t="shared" ca="1" si="55"/>
        <v>0</v>
      </c>
      <c r="O97" s="358">
        <f t="shared" si="55"/>
        <v>0</v>
      </c>
      <c r="P97" s="358">
        <f t="shared" ca="1" si="55"/>
        <v>0</v>
      </c>
      <c r="Q97" s="358">
        <f t="shared" si="55"/>
        <v>0</v>
      </c>
      <c r="R97" s="358">
        <f t="shared" ca="1" si="55"/>
        <v>0</v>
      </c>
      <c r="S97" s="358">
        <f t="shared" si="55"/>
        <v>0</v>
      </c>
      <c r="T97" s="358">
        <f t="shared" ca="1" si="55"/>
        <v>0</v>
      </c>
      <c r="U97" s="358">
        <f t="shared" si="55"/>
        <v>0</v>
      </c>
      <c r="V97" s="358">
        <f t="shared" si="55"/>
        <v>0</v>
      </c>
      <c r="W97" s="358">
        <f t="shared" si="55"/>
        <v>0</v>
      </c>
      <c r="X97" s="358">
        <f t="shared" si="55"/>
        <v>0</v>
      </c>
      <c r="Y97" s="358">
        <f t="shared" si="55"/>
        <v>0</v>
      </c>
      <c r="Z97" s="358">
        <f t="shared" si="55"/>
        <v>0</v>
      </c>
      <c r="AA97" s="235">
        <f t="shared" ref="AA97" ca="1" si="56">+AA88+AA93</f>
        <v>595469.5</v>
      </c>
      <c r="AB97" s="287"/>
      <c r="AC97" s="368">
        <f ca="1">+SUM(F97:AA97)</f>
        <v>595469.5</v>
      </c>
      <c r="AD97" s="428">
        <f ca="1">+AC97/SUM($AC$96:$AC$97)</f>
        <v>0.33204606615387877</v>
      </c>
    </row>
    <row r="98" spans="1:30" s="103" customFormat="1" ht="15.4" thickBot="1">
      <c r="A98" s="285"/>
      <c r="B98" s="286"/>
      <c r="C98" s="142"/>
      <c r="D98" s="289"/>
      <c r="E98" s="143"/>
      <c r="F98" s="134"/>
      <c r="G98" s="135"/>
      <c r="H98" s="135"/>
      <c r="I98" s="135"/>
      <c r="J98" s="135"/>
      <c r="K98" s="135"/>
      <c r="L98" s="135"/>
      <c r="M98" s="135"/>
      <c r="N98" s="135"/>
      <c r="O98" s="135"/>
      <c r="P98" s="135"/>
      <c r="Q98" s="135"/>
      <c r="R98" s="135"/>
      <c r="S98" s="135"/>
      <c r="T98" s="135"/>
      <c r="U98" s="135"/>
      <c r="V98" s="135"/>
      <c r="W98" s="135"/>
      <c r="X98" s="135"/>
      <c r="Y98" s="135"/>
      <c r="Z98" s="135"/>
      <c r="AA98" s="136"/>
      <c r="AB98" s="287"/>
    </row>
    <row r="99" spans="1:30" ht="15.4" thickBot="1">
      <c r="A99" s="123"/>
      <c r="B99" s="124"/>
      <c r="C99" s="124"/>
      <c r="D99" s="124"/>
      <c r="E99" s="124"/>
      <c r="F99" s="145"/>
      <c r="G99" s="145"/>
      <c r="H99" s="145"/>
      <c r="I99" s="145"/>
      <c r="J99" s="145"/>
      <c r="K99" s="145"/>
      <c r="L99" s="145"/>
      <c r="M99" s="145"/>
      <c r="N99" s="145"/>
      <c r="O99" s="145"/>
      <c r="P99" s="145"/>
      <c r="Q99" s="145"/>
      <c r="R99" s="145"/>
      <c r="S99" s="145"/>
      <c r="T99" s="145"/>
      <c r="U99" s="145"/>
      <c r="V99" s="145"/>
      <c r="W99" s="145"/>
      <c r="X99" s="145"/>
      <c r="Y99" s="145"/>
      <c r="Z99" s="145"/>
      <c r="AA99" s="124"/>
      <c r="AB99" s="127"/>
    </row>
    <row r="100" spans="1:30">
      <c r="B100" s="3"/>
      <c r="H100" s="5"/>
      <c r="I100" s="5"/>
      <c r="J100" s="5"/>
      <c r="K100" s="5"/>
      <c r="L100" s="5"/>
      <c r="M100" s="5"/>
      <c r="N100" s="5"/>
      <c r="O100" s="5"/>
      <c r="P100" s="5"/>
      <c r="Q100" s="5"/>
      <c r="R100" s="5"/>
      <c r="S100" s="5"/>
      <c r="T100" s="5"/>
      <c r="U100" s="5"/>
      <c r="V100" s="5"/>
      <c r="W100" s="5"/>
      <c r="X100" s="5"/>
      <c r="Y100" s="5"/>
      <c r="Z100" s="5"/>
      <c r="AA100" s="5"/>
    </row>
    <row r="101" spans="1:30">
      <c r="B101" s="3"/>
      <c r="H101" s="5"/>
      <c r="I101" s="5"/>
      <c r="J101" s="5"/>
      <c r="K101" s="5"/>
      <c r="L101" s="5"/>
      <c r="M101" s="5"/>
      <c r="N101" s="5"/>
      <c r="O101" s="5"/>
      <c r="P101" s="5"/>
      <c r="Q101" s="5"/>
      <c r="R101" s="5"/>
      <c r="S101" s="5"/>
      <c r="T101" s="5"/>
      <c r="U101" s="5"/>
      <c r="V101" s="5"/>
      <c r="W101" s="5"/>
      <c r="X101" s="5"/>
      <c r="Y101" s="5"/>
      <c r="Z101" s="5"/>
      <c r="AA101" s="5"/>
    </row>
    <row r="102" spans="1:30">
      <c r="B102" s="3"/>
      <c r="H102" s="5"/>
      <c r="I102" s="5"/>
      <c r="J102" s="5"/>
      <c r="K102" s="5"/>
      <c r="L102" s="5"/>
      <c r="M102" s="5"/>
      <c r="N102" s="5"/>
      <c r="O102" s="5"/>
      <c r="P102" s="5"/>
      <c r="Q102" s="5"/>
      <c r="R102" s="5"/>
      <c r="S102" s="5"/>
      <c r="T102" s="5"/>
      <c r="U102" s="5"/>
      <c r="V102" s="5"/>
      <c r="W102" s="5"/>
      <c r="X102" s="5"/>
      <c r="Y102" s="5"/>
      <c r="Z102" s="5"/>
      <c r="AA102" s="5"/>
    </row>
    <row r="103" spans="1:30">
      <c r="B103" s="3"/>
      <c r="H103" s="5"/>
      <c r="I103" s="5"/>
      <c r="J103" s="5"/>
      <c r="K103" s="5"/>
      <c r="L103" s="5"/>
      <c r="M103" s="5"/>
      <c r="N103" s="5"/>
      <c r="O103" s="5"/>
      <c r="P103" s="5"/>
      <c r="Q103" s="5"/>
      <c r="R103" s="5"/>
      <c r="S103" s="5"/>
      <c r="T103" s="5"/>
      <c r="U103" s="5"/>
      <c r="V103" s="5"/>
      <c r="W103" s="5"/>
      <c r="X103" s="5"/>
      <c r="Y103" s="5"/>
      <c r="Z103" s="5"/>
      <c r="AA103" s="5"/>
    </row>
    <row r="104" spans="1:30" ht="15">
      <c r="F104" s="103"/>
      <c r="G104" s="103"/>
      <c r="H104" s="103"/>
      <c r="I104" s="103"/>
      <c r="J104" s="103"/>
      <c r="K104" s="103"/>
      <c r="L104" s="103"/>
      <c r="M104" s="103"/>
      <c r="N104" s="103"/>
      <c r="O104" s="103"/>
      <c r="P104" s="103"/>
      <c r="Q104" s="103"/>
      <c r="R104" s="103"/>
      <c r="S104" s="103"/>
      <c r="T104" s="103"/>
      <c r="U104" s="103"/>
      <c r="V104" s="103"/>
      <c r="W104" s="103"/>
      <c r="X104" s="103"/>
      <c r="Y104" s="103"/>
      <c r="Z104" s="103"/>
    </row>
    <row r="105" spans="1:30" ht="15">
      <c r="F105" s="103"/>
      <c r="G105" s="103"/>
      <c r="H105" s="103"/>
      <c r="I105" s="103"/>
      <c r="J105" s="103"/>
      <c r="K105" s="103"/>
      <c r="L105" s="103"/>
      <c r="M105" s="103"/>
      <c r="N105" s="103"/>
      <c r="O105" s="103"/>
      <c r="P105" s="103"/>
      <c r="Q105" s="103"/>
      <c r="R105" s="103"/>
      <c r="S105" s="103"/>
      <c r="T105" s="103"/>
      <c r="U105" s="103"/>
      <c r="V105" s="103"/>
      <c r="W105" s="103"/>
      <c r="X105" s="103"/>
      <c r="Y105" s="103"/>
      <c r="Z105" s="103"/>
    </row>
    <row r="106" spans="1:30" ht="15">
      <c r="F106" s="103"/>
      <c r="G106" s="103"/>
      <c r="H106" s="103"/>
      <c r="I106" s="103"/>
      <c r="J106" s="103"/>
      <c r="K106" s="103"/>
      <c r="L106" s="103"/>
      <c r="M106" s="103"/>
      <c r="N106" s="103"/>
      <c r="O106" s="103"/>
      <c r="P106" s="103"/>
      <c r="Q106" s="103"/>
      <c r="R106" s="103"/>
      <c r="S106" s="103"/>
      <c r="T106" s="103"/>
      <c r="U106" s="103"/>
      <c r="V106" s="103"/>
      <c r="W106" s="103"/>
      <c r="X106" s="103"/>
      <c r="Y106" s="103"/>
      <c r="Z106" s="103"/>
    </row>
    <row r="107" spans="1:30" ht="15">
      <c r="F107" s="103"/>
      <c r="G107" s="103"/>
      <c r="H107" s="103"/>
      <c r="I107" s="103"/>
      <c r="J107" s="103"/>
      <c r="K107" s="103"/>
      <c r="L107" s="103"/>
      <c r="M107" s="103"/>
      <c r="N107" s="103"/>
      <c r="O107" s="103"/>
      <c r="P107" s="103"/>
      <c r="Q107" s="103"/>
      <c r="R107" s="103"/>
      <c r="S107" s="103"/>
      <c r="T107" s="103"/>
      <c r="U107" s="103"/>
      <c r="V107" s="103"/>
      <c r="W107" s="103"/>
      <c r="X107" s="103"/>
      <c r="Y107" s="103"/>
      <c r="Z107" s="103"/>
    </row>
    <row r="108" spans="1:30" ht="15">
      <c r="F108" s="103"/>
      <c r="G108" s="103"/>
      <c r="H108" s="103"/>
      <c r="I108" s="103"/>
      <c r="J108" s="103"/>
      <c r="K108" s="103"/>
      <c r="L108" s="103"/>
      <c r="M108" s="103"/>
      <c r="N108" s="103"/>
      <c r="O108" s="103"/>
      <c r="P108" s="103"/>
      <c r="Q108" s="103"/>
      <c r="R108" s="103"/>
      <c r="S108" s="103"/>
      <c r="T108" s="103"/>
      <c r="U108" s="103"/>
      <c r="V108" s="103"/>
      <c r="W108" s="103"/>
      <c r="X108" s="103"/>
      <c r="Y108" s="103"/>
      <c r="Z108" s="103"/>
    </row>
    <row r="109" spans="1:30" ht="15">
      <c r="F109" s="103"/>
      <c r="G109" s="103"/>
      <c r="H109" s="103"/>
      <c r="I109" s="103"/>
      <c r="J109" s="103"/>
      <c r="K109" s="103"/>
      <c r="L109" s="103"/>
      <c r="M109" s="103"/>
      <c r="N109" s="103"/>
      <c r="O109" s="103"/>
      <c r="P109" s="103"/>
      <c r="Q109" s="103"/>
      <c r="R109" s="103"/>
      <c r="S109" s="103"/>
      <c r="T109" s="103"/>
      <c r="U109" s="103"/>
      <c r="V109" s="103"/>
      <c r="W109" s="103"/>
      <c r="X109" s="103"/>
      <c r="Y109" s="103"/>
      <c r="Z109" s="103"/>
    </row>
    <row r="110" spans="1:30" ht="15">
      <c r="F110" s="103"/>
      <c r="G110" s="103"/>
      <c r="H110" s="103"/>
      <c r="I110" s="103"/>
      <c r="J110" s="103"/>
      <c r="K110" s="103"/>
      <c r="L110" s="103"/>
      <c r="M110" s="103"/>
      <c r="N110" s="103"/>
      <c r="O110" s="103"/>
      <c r="P110" s="103"/>
      <c r="Q110" s="103"/>
      <c r="R110" s="103"/>
      <c r="S110" s="103"/>
      <c r="T110" s="103"/>
      <c r="U110" s="103"/>
      <c r="V110" s="103"/>
      <c r="W110" s="103"/>
      <c r="X110" s="103"/>
      <c r="Y110" s="103"/>
      <c r="Z110" s="103"/>
    </row>
    <row r="111" spans="1:30" ht="15">
      <c r="F111" s="103"/>
      <c r="G111" s="103"/>
      <c r="H111" s="103"/>
      <c r="I111" s="103"/>
      <c r="J111" s="103"/>
      <c r="K111" s="103"/>
      <c r="L111" s="103"/>
      <c r="M111" s="103"/>
      <c r="N111" s="103"/>
      <c r="O111" s="103"/>
      <c r="P111" s="103"/>
      <c r="Q111" s="103"/>
      <c r="R111" s="103"/>
      <c r="S111" s="103"/>
      <c r="T111" s="103"/>
      <c r="U111" s="103"/>
      <c r="V111" s="103"/>
      <c r="W111" s="103"/>
      <c r="X111" s="103"/>
      <c r="Y111" s="103"/>
      <c r="Z111" s="103"/>
    </row>
    <row r="112" spans="1:30" ht="15">
      <c r="F112" s="103"/>
      <c r="G112" s="103"/>
      <c r="H112" s="103"/>
      <c r="I112" s="103"/>
      <c r="J112" s="103"/>
      <c r="K112" s="103"/>
      <c r="L112" s="103"/>
      <c r="M112" s="103"/>
      <c r="N112" s="103"/>
      <c r="O112" s="103"/>
      <c r="P112" s="103"/>
      <c r="Q112" s="103"/>
      <c r="R112" s="103"/>
      <c r="S112" s="103"/>
      <c r="T112" s="103"/>
      <c r="U112" s="103"/>
      <c r="V112" s="103"/>
      <c r="W112" s="103"/>
      <c r="X112" s="103"/>
      <c r="Y112" s="103"/>
      <c r="Z112" s="103"/>
    </row>
    <row r="113" spans="6:26" ht="15">
      <c r="F113" s="103"/>
      <c r="G113" s="103"/>
      <c r="H113" s="103"/>
      <c r="I113" s="103"/>
      <c r="J113" s="103"/>
      <c r="K113" s="103"/>
      <c r="L113" s="103"/>
      <c r="M113" s="103"/>
      <c r="N113" s="103"/>
      <c r="O113" s="103"/>
      <c r="P113" s="103"/>
      <c r="Q113" s="103"/>
      <c r="R113" s="103"/>
      <c r="S113" s="103"/>
      <c r="T113" s="103"/>
      <c r="U113" s="103"/>
      <c r="V113" s="103"/>
      <c r="W113" s="103"/>
      <c r="X113" s="103"/>
      <c r="Y113" s="103"/>
      <c r="Z113" s="103"/>
    </row>
  </sheetData>
  <mergeCells count="5">
    <mergeCell ref="A24:A31"/>
    <mergeCell ref="A5:A23"/>
    <mergeCell ref="C55:D55"/>
    <mergeCell ref="A65:C66"/>
    <mergeCell ref="A32:A49"/>
  </mergeCells>
  <conditionalFormatting sqref="G55:Z55">
    <cfRule type="cellIs" dxfId="2" priority="2" operator="lessThan">
      <formula>0</formula>
    </cfRule>
  </conditionalFormatting>
  <conditionalFormatting sqref="AA81">
    <cfRule type="cellIs" dxfId="1" priority="1" operator="lessThan">
      <formula>0</formula>
    </cfRule>
  </conditionalFormatting>
  <dataValidations count="9">
    <dataValidation type="list" allowBlank="1" showInputMessage="1" showErrorMessage="1" sqref="C36 C42" xr:uid="{00000000-0002-0000-0800-000000000000}">
      <formula1>"N/A,1.00%,YM,Defease"</formula1>
    </dataValidation>
    <dataValidation type="list" allowBlank="1" showInputMessage="1" showErrorMessage="1" sqref="AB45:AB46 E45:E46" xr:uid="{00000000-0002-0000-0800-000001000000}">
      <formula1>"Refi: Yes,Refi: No"</formula1>
    </dataValidation>
    <dataValidation type="list" allowBlank="1" showInputMessage="1" showErrorMessage="1" sqref="C45" xr:uid="{00000000-0002-0000-0800-000002000000}">
      <formula1>"0.5,1.5,2.5,3.5,4.5,5.5,6.5,7.5,8.5,9.5"</formula1>
    </dataValidation>
    <dataValidation type="list" allowBlank="1" showInputMessage="1" showErrorMessage="1" sqref="C32" xr:uid="{00000000-0002-0000-0800-000003000000}">
      <formula1>"Assumed"</formula1>
    </dataValidation>
    <dataValidation type="list" allowBlank="1" showInputMessage="1" showErrorMessage="1" sqref="C4" xr:uid="{00000000-0002-0000-0800-000004000000}">
      <formula1>"1,2,3,4,5,6,7,8,9,10"</formula1>
    </dataValidation>
    <dataValidation type="list" allowBlank="1" showInputMessage="1" showErrorMessage="1" sqref="D45 C71" xr:uid="{00000000-0002-0000-0800-000005000000}">
      <formula1>"Yes,No"</formula1>
    </dataValidation>
    <dataValidation allowBlank="1" showInputMessage="1" showErrorMessage="1" promptTitle="Prepayment:" prompt="Prepayment fees of 1% are typical after loans are &quot;opened&quot; (to prepayments), but check your loan agreement. Yield maintenance and defeasance, other common prepayment calculations, are beyond the scope of this model." sqref="D36" xr:uid="{00000000-0002-0000-0800-000006000000}"/>
    <dataValidation allowBlank="1" showInputMessage="1" showErrorMessage="1" promptTitle="Working Capital:" prompt="Currently set at six months of property tax and insurance. A minimum of three months should be set aside." sqref="D18" xr:uid="{00000000-0002-0000-0800-000007000000}"/>
    <dataValidation allowBlank="1" showInputMessage="1" showErrorMessage="1" promptTitle="Transfer Tax:" prompt="Transfer tax vary by city and state. Check with your title company regarding customary splits between Buyer and Seller." sqref="D17" xr:uid="{00000000-0002-0000-0800-000008000000}"/>
  </dataValidations>
  <pageMargins left="0.7" right="0.7" top="0.75" bottom="0.75" header="0.3" footer="0.3"/>
  <pageSetup orientation="portrait" r:id="rId1"/>
  <headerFooter>
    <oddFooter>&amp;C&amp;"Copperplate Gothic Light,Bold"&amp;16&amp;K04-049Chavis Capital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Intro</vt:lpstr>
      <vt:lpstr>Terminology</vt:lpstr>
      <vt:lpstr>Dashboard</vt:lpstr>
      <vt:lpstr>Deal Checklist</vt:lpstr>
      <vt:lpstr>Asset Management</vt:lpstr>
      <vt:lpstr>Calculations</vt:lpstr>
      <vt:lpstr>Worksheet</vt:lpstr>
      <vt:lpstr>Cashflow</vt:lpstr>
      <vt:lpstr>Waterfall</vt:lpstr>
      <vt:lpstr>Amortization</vt:lpstr>
      <vt:lpstr>Rehab</vt:lpstr>
      <vt:lpstr>Rent Comps - Input</vt:lpstr>
      <vt:lpstr>Rent Comps - Sorted</vt:lpstr>
      <vt:lpstr>Sale Comps</vt:lpstr>
      <vt:lpstr>LEGAL</vt:lpstr>
      <vt:lpstr>Address</vt:lpstr>
      <vt:lpstr>AskingPrice</vt:lpstr>
      <vt:lpstr>CDate</vt:lpstr>
      <vt:lpstr>ExitCap</vt:lpstr>
      <vt:lpstr>H</vt:lpstr>
      <vt:lpstr>Name</vt:lpstr>
      <vt:lpstr>P</vt:lpstr>
      <vt:lpstr>'Rent Comps - Sorted'!RentComps_PrintArea</vt:lpstr>
      <vt:lpstr>U</vt:lpstr>
      <vt:lpstr>YearBuilt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 Park</dc:creator>
  <cp:lastModifiedBy>Bryan Chavis</cp:lastModifiedBy>
  <cp:lastPrinted>2019-08-03T05:02:18Z</cp:lastPrinted>
  <dcterms:created xsi:type="dcterms:W3CDTF">2019-04-11T21:49:21Z</dcterms:created>
  <dcterms:modified xsi:type="dcterms:W3CDTF">2021-06-15T13:16:03Z</dcterms:modified>
</cp:coreProperties>
</file>